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ppe\Documents\Projecten\Eiwitteelten\Veldbonen\Veldbonen van veld tot voer\Rekentool\"/>
    </mc:Choice>
  </mc:AlternateContent>
  <xr:revisionPtr revIDLastSave="0" documentId="13_ncr:1_{B5DE478D-9B07-4F8D-AE1A-8344E972641A}" xr6:coauthVersionLast="47" xr6:coauthVersionMax="47" xr10:uidLastSave="{00000000-0000-0000-0000-000000000000}"/>
  <bookViews>
    <workbookView xWindow="-108" yWindow="-108" windowWidth="23256" windowHeight="12456" xr2:uid="{82C77EA0-B414-40E2-85C1-5D8C8EE8700C}"/>
  </bookViews>
  <sheets>
    <sheet name="Teelt" sheetId="1" r:id="rId1"/>
    <sheet name="Vervoedering" sheetId="4" r:id="rId2"/>
    <sheet name="Toasten" sheetId="5" r:id="rId3"/>
    <sheet name="Tabellen voor keuzelijsten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5" l="1"/>
  <c r="E28" i="1"/>
  <c r="C28" i="1" s="1"/>
  <c r="C24" i="4"/>
  <c r="A22" i="4"/>
  <c r="A38" i="1"/>
  <c r="A37" i="1"/>
  <c r="C39" i="1" s="1"/>
  <c r="B40" i="4" l="1"/>
  <c r="B39" i="4"/>
  <c r="H3" i="5"/>
  <c r="F5" i="1"/>
  <c r="F3" i="1"/>
  <c r="F2" i="1"/>
  <c r="G3" i="4"/>
  <c r="G2" i="4"/>
  <c r="H4" i="1"/>
  <c r="A39" i="1"/>
  <c r="G3" i="1"/>
  <c r="A28" i="1"/>
  <c r="C20" i="1"/>
  <c r="G2" i="1" s="1"/>
  <c r="A20" i="1"/>
  <c r="A41" i="1"/>
  <c r="A30" i="1"/>
  <c r="A49" i="1"/>
  <c r="A47" i="1"/>
  <c r="A25" i="1"/>
  <c r="D25" i="1" s="1"/>
  <c r="B21" i="4"/>
  <c r="H8" i="4" s="1"/>
  <c r="C17" i="5"/>
  <c r="B8" i="5"/>
  <c r="B20" i="5" s="1"/>
  <c r="C7" i="5"/>
  <c r="B13" i="5" l="1"/>
  <c r="B14" i="5" s="1"/>
  <c r="D48" i="1"/>
  <c r="H9" i="4"/>
  <c r="B26" i="4"/>
  <c r="B27" i="4" s="1"/>
  <c r="G2" i="5"/>
  <c r="B21" i="5"/>
  <c r="F3" i="5"/>
  <c r="G3" i="5"/>
  <c r="F2" i="5"/>
  <c r="J4" i="5" l="1"/>
  <c r="B26" i="5"/>
  <c r="B23" i="5"/>
  <c r="B27" i="5" s="1"/>
  <c r="A33" i="5" s="1"/>
  <c r="B22" i="5"/>
  <c r="C20" i="4" l="1"/>
  <c r="F12" i="4"/>
  <c r="F11" i="4"/>
  <c r="E11" i="4"/>
  <c r="E12" i="4"/>
  <c r="A15" i="4"/>
  <c r="A14" i="4"/>
  <c r="A13" i="4"/>
  <c r="D13" i="4" s="1"/>
  <c r="A27" i="1"/>
  <c r="D27" i="1" s="1"/>
  <c r="A26" i="1"/>
  <c r="D26" i="1" s="1"/>
  <c r="E14" i="4" l="1"/>
  <c r="G6" i="4"/>
  <c r="F15" i="4"/>
  <c r="G7" i="4"/>
  <c r="E13" i="4"/>
  <c r="G4" i="4"/>
  <c r="F13" i="4"/>
  <c r="F14" i="4"/>
  <c r="E15" i="4"/>
  <c r="I10" i="4" l="1"/>
  <c r="B16" i="4"/>
  <c r="A17" i="4"/>
  <c r="B41" i="4" s="1"/>
  <c r="B42" i="4" l="1"/>
  <c r="B30" i="4"/>
  <c r="B28" i="4"/>
  <c r="A29" i="4"/>
  <c r="A8" i="1" l="1"/>
  <c r="A36" i="1"/>
  <c r="A35" i="1"/>
  <c r="A6" i="1"/>
  <c r="G2" i="2"/>
  <c r="A31" i="1"/>
  <c r="A29" i="1"/>
  <c r="C29" i="1"/>
  <c r="H5" i="1" l="1"/>
  <c r="C40" i="1" l="1"/>
  <c r="C41" i="1"/>
  <c r="C42" i="1" s="1"/>
  <c r="A21" i="1" l="1"/>
  <c r="A46" i="1"/>
  <c r="A42" i="1"/>
  <c r="A40" i="1"/>
  <c r="C21" i="1" l="1"/>
  <c r="C31" i="1" s="1"/>
  <c r="C30" i="1"/>
  <c r="E47" i="1" l="1"/>
  <c r="F47" i="1"/>
  <c r="C47" i="1" s="1"/>
  <c r="C49" i="1"/>
  <c r="C45" i="1"/>
  <c r="I6" i="1" s="1"/>
  <c r="C46" i="1" l="1"/>
</calcChain>
</file>

<file path=xl/sharedStrings.xml><?xml version="1.0" encoding="utf-8"?>
<sst xmlns="http://schemas.openxmlformats.org/spreadsheetml/2006/main" count="226" uniqueCount="132">
  <si>
    <t>Teeltkosten en opbrengsten</t>
  </si>
  <si>
    <t>Mengteelt</t>
  </si>
  <si>
    <t>Gehele plant silage</t>
  </si>
  <si>
    <t>Invulwijze</t>
  </si>
  <si>
    <t>Per ha</t>
  </si>
  <si>
    <t>Over volledig areaal veldbonen</t>
  </si>
  <si>
    <t>Selecteer invulwijze</t>
  </si>
  <si>
    <t>Vaste kosten teelt</t>
  </si>
  <si>
    <t>Zaai</t>
  </si>
  <si>
    <t>Bemesting</t>
  </si>
  <si>
    <t>Variabele kosten teelt</t>
  </si>
  <si>
    <t>Gewasbescherming</t>
  </si>
  <si>
    <t>Toasten</t>
  </si>
  <si>
    <t>Teeltkosten</t>
  </si>
  <si>
    <t>Winsten</t>
  </si>
  <si>
    <t>Financieel resultaat</t>
  </si>
  <si>
    <t>Reincultuur</t>
  </si>
  <si>
    <t>Bewerkingen</t>
  </si>
  <si>
    <t>Malen</t>
  </si>
  <si>
    <t>Pletten</t>
  </si>
  <si>
    <t>Triëren/scheiden</t>
  </si>
  <si>
    <t>Toasten &amp; malen</t>
  </si>
  <si>
    <t>Toasten &amp; pletten</t>
  </si>
  <si>
    <t>Toasten &amp; triëren</t>
  </si>
  <si>
    <t>Toasten, triëren &amp; malen</t>
  </si>
  <si>
    <t>Toasten, triëren &amp; pletten</t>
  </si>
  <si>
    <t>Triëren &amp; malen</t>
  </si>
  <si>
    <t>Triëren &amp; pletten</t>
  </si>
  <si>
    <t>Geen</t>
  </si>
  <si>
    <t>Beoogde teeltwijze</t>
  </si>
  <si>
    <t>Pacht + algemene kosten (€)</t>
  </si>
  <si>
    <t>Grondbewerkingen (€)</t>
  </si>
  <si>
    <t>Zaaizaad (€)</t>
  </si>
  <si>
    <t>Zaaien (€)</t>
  </si>
  <si>
    <t>Mest (€)</t>
  </si>
  <si>
    <t>Uitrijden (€)</t>
  </si>
  <si>
    <t>Oogst (€)</t>
  </si>
  <si>
    <t>Gewasbeschermingsmiddelen (€)</t>
  </si>
  <si>
    <t>Spuiten (€)</t>
  </si>
  <si>
    <t>Premie (€)</t>
  </si>
  <si>
    <t>Resultaat (€)</t>
  </si>
  <si>
    <t>Vervoedering van veldbonen</t>
  </si>
  <si>
    <t>Kosten</t>
  </si>
  <si>
    <t>Resultaat voederwaardeprijs</t>
  </si>
  <si>
    <t>Hoeveelheid aangekocht</t>
  </si>
  <si>
    <t>Teeltwijze</t>
  </si>
  <si>
    <t>ton</t>
  </si>
  <si>
    <t>Invulwijze vervoedering</t>
  </si>
  <si>
    <t>Aankoopprijs</t>
  </si>
  <si>
    <t>€</t>
  </si>
  <si>
    <t>€/ton</t>
  </si>
  <si>
    <t>Transport</t>
  </si>
  <si>
    <t>Totale kostprijs</t>
  </si>
  <si>
    <t>Vochtgehalte</t>
  </si>
  <si>
    <t>Vochtgehalte/DS</t>
  </si>
  <si>
    <t>DS</t>
  </si>
  <si>
    <t>Totaal DS gewicht</t>
  </si>
  <si>
    <t>VEM</t>
  </si>
  <si>
    <t>per kg DS</t>
  </si>
  <si>
    <t>DVE</t>
  </si>
  <si>
    <t>Energietoeslag</t>
  </si>
  <si>
    <t>€/kVEM</t>
  </si>
  <si>
    <t>Eiwittoeslag</t>
  </si>
  <si>
    <t>€/kg DVE</t>
  </si>
  <si>
    <t>Voederwaardeprijs</t>
  </si>
  <si>
    <t>Soja te vervangen met 1 ton veldbonen</t>
  </si>
  <si>
    <t>kg</t>
  </si>
  <si>
    <t>Maïsmeel te vervangen met 1 ton veldbonen</t>
  </si>
  <si>
    <t>Kostprijs maïsmeel</t>
  </si>
  <si>
    <t>Kostprijs soja</t>
  </si>
  <si>
    <t>Resultaat vervanging soja/maïsmeel</t>
  </si>
  <si>
    <t>Resultaat vervanging door 1 ton veldbonen</t>
  </si>
  <si>
    <t>Vervangbaar met 1 ton veldbonen</t>
  </si>
  <si>
    <t>Vul de gele vakken in met de voor jouw bedrijf correcte gegevens.</t>
  </si>
  <si>
    <t>Vul de gele vakken in met de voor jouw bedrijf correcte gegevens en eenheden. 
Bedrijven die de veldbonen ook zelf hebben geteeld, kunnen hier de break-even prijs van het blad "teelt" gebruiken als aankoopprijs van de veldbonen.</t>
  </si>
  <si>
    <t>Nog te gebeuren bewerkingen na aankoop</t>
  </si>
  <si>
    <t>&gt; Nog onzichtbaar &amp; niet-aanpasbaar te maken in finale versie.</t>
  </si>
  <si>
    <t>Resultaat volledig tonnage veldbonen</t>
  </si>
  <si>
    <t>Totale tonnage veldbonen</t>
  </si>
  <si>
    <t>Voederwaardeprijs van de ongetoaste veldbonen</t>
  </si>
  <si>
    <t>€/ton VS</t>
  </si>
  <si>
    <t>Voederwaardeprijs van de getoaste veldbonen</t>
  </si>
  <si>
    <t>Voederwaardeprijs getoast</t>
  </si>
  <si>
    <t>Voederwaardeprijs niet-getoast</t>
  </si>
  <si>
    <t>Tonnage getoaste veldbonen</t>
  </si>
  <si>
    <t>€/ton getoaste veldbonen</t>
  </si>
  <si>
    <t>Resultaat toasten</t>
  </si>
  <si>
    <t>Stijging voederwaardeprijs door toasten</t>
  </si>
  <si>
    <t>Kostprijs toasten</t>
  </si>
  <si>
    <t>Eenheid</t>
  </si>
  <si>
    <t>Besluit</t>
  </si>
  <si>
    <t>Verkoopprijs veldbonen (€/ton)</t>
  </si>
  <si>
    <t>Verkoopprijs granen (€/ton)</t>
  </si>
  <si>
    <t>Verkoopprijs</t>
  </si>
  <si>
    <t>Totale kosten</t>
  </si>
  <si>
    <t>Totale winsten</t>
  </si>
  <si>
    <t>Aankoopkosten</t>
  </si>
  <si>
    <t>Triage</t>
  </si>
  <si>
    <t>Pletten/malen</t>
  </si>
  <si>
    <t>Premie</t>
  </si>
  <si>
    <t>Voederwaardeprijs ongetoast</t>
  </si>
  <si>
    <t>Saldo toasten</t>
  </si>
  <si>
    <t>Saldo teelt</t>
  </si>
  <si>
    <t>Saldo vervoedering</t>
  </si>
  <si>
    <t>Saldo Vervoedering</t>
  </si>
  <si>
    <t>Richtwaarden</t>
  </si>
  <si>
    <t>Kostprijs als percentage van voederwaardeprijs</t>
  </si>
  <si>
    <t>%</t>
  </si>
  <si>
    <t>Kostprijs krachtvoer</t>
  </si>
  <si>
    <t>Krachtvoer te vervangen met 1 ton veldbonen</t>
  </si>
  <si>
    <t>Kostprijs mengeling te vervangen producten</t>
  </si>
  <si>
    <t>75 €/ton</t>
  </si>
  <si>
    <t>75 €/ton VS</t>
  </si>
  <si>
    <t>310 €/ha</t>
  </si>
  <si>
    <t>280 €/ha</t>
  </si>
  <si>
    <t>300 €/ha</t>
  </si>
  <si>
    <t>35 €/ton</t>
  </si>
  <si>
    <t>Max. 600 €/ha</t>
  </si>
  <si>
    <t>330 €/ton</t>
  </si>
  <si>
    <t>330 €/ton droge bonen</t>
  </si>
  <si>
    <t>Bedrijfstype</t>
  </si>
  <si>
    <t>Melkvee</t>
  </si>
  <si>
    <t>Rundvee</t>
  </si>
  <si>
    <t>0,2 €/kVEM</t>
  </si>
  <si>
    <t>1,466 €/kg DVE</t>
  </si>
  <si>
    <t>Transportkosten</t>
  </si>
  <si>
    <t>Toastkosten</t>
  </si>
  <si>
    <t>0,14 €/ton*km</t>
  </si>
  <si>
    <t>Is toasten rendabel volgens de stijging in voederwaardeprijs?</t>
  </si>
  <si>
    <t>4,5 - 8,5 ton/ha</t>
  </si>
  <si>
    <t>1130 VEM/kg DS</t>
  </si>
  <si>
    <t>110 (ongetoast) 155 (getoast) DVE/kg 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</si>
</sst>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D0CECE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AFFFD3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0" fillId="6" borderId="2" xfId="0" applyFill="1" applyBorder="1"/>
    <xf numFmtId="0" fontId="0" fillId="6" borderId="5" xfId="0" applyFill="1" applyBorder="1"/>
    <xf numFmtId="0" fontId="0" fillId="0" borderId="5" xfId="0" applyBorder="1"/>
    <xf numFmtId="0" fontId="0" fillId="9" borderId="2" xfId="0" applyFill="1" applyBorder="1"/>
    <xf numFmtId="0" fontId="0" fillId="8" borderId="0" xfId="0" applyFill="1"/>
    <xf numFmtId="0" fontId="0" fillId="7" borderId="13" xfId="0" applyFill="1" applyBorder="1"/>
    <xf numFmtId="0" fontId="0" fillId="7" borderId="5" xfId="0" applyFill="1" applyBorder="1"/>
    <xf numFmtId="0" fontId="0" fillId="7" borderId="15" xfId="0" applyFill="1" applyBorder="1"/>
    <xf numFmtId="0" fontId="0" fillId="7" borderId="6" xfId="0" applyFill="1" applyBorder="1"/>
    <xf numFmtId="0" fontId="0" fillId="9" borderId="3" xfId="0" applyFill="1" applyBorder="1"/>
    <xf numFmtId="0" fontId="1" fillId="3" borderId="13" xfId="0" applyFont="1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15" xfId="0" applyFill="1" applyBorder="1"/>
    <xf numFmtId="0" fontId="0" fillId="8" borderId="6" xfId="0" applyFill="1" applyBorder="1"/>
    <xf numFmtId="0" fontId="0" fillId="8" borderId="13" xfId="0" applyFill="1" applyBorder="1"/>
    <xf numFmtId="0" fontId="1" fillId="8" borderId="13" xfId="0" applyFont="1" applyFill="1" applyBorder="1"/>
    <xf numFmtId="0" fontId="0" fillId="8" borderId="5" xfId="0" applyFill="1" applyBorder="1"/>
    <xf numFmtId="0" fontId="4" fillId="0" borderId="13" xfId="0" applyFont="1" applyBorder="1"/>
    <xf numFmtId="0" fontId="0" fillId="8" borderId="7" xfId="0" applyFill="1" applyBorder="1"/>
    <xf numFmtId="0" fontId="0" fillId="8" borderId="15" xfId="0" applyFill="1" applyBorder="1" applyAlignment="1">
      <alignment horizontal="left"/>
    </xf>
    <xf numFmtId="0" fontId="1" fillId="0" borderId="15" xfId="0" applyFont="1" applyBorder="1"/>
    <xf numFmtId="0" fontId="0" fillId="0" borderId="6" xfId="0" applyBorder="1"/>
    <xf numFmtId="0" fontId="1" fillId="0" borderId="7" xfId="0" applyFont="1" applyBorder="1"/>
    <xf numFmtId="0" fontId="0" fillId="3" borderId="2" xfId="0" applyFill="1" applyBorder="1"/>
    <xf numFmtId="0" fontId="0" fillId="0" borderId="9" xfId="0" applyBorder="1"/>
    <xf numFmtId="0" fontId="0" fillId="0" borderId="10" xfId="0" applyBorder="1"/>
    <xf numFmtId="0" fontId="0" fillId="0" borderId="15" xfId="0" applyBorder="1" applyAlignment="1">
      <alignment horizontal="right"/>
    </xf>
    <xf numFmtId="0" fontId="0" fillId="8" borderId="0" xfId="0" applyFill="1" applyAlignment="1">
      <alignment horizontal="left"/>
    </xf>
    <xf numFmtId="1" fontId="0" fillId="0" borderId="6" xfId="0" applyNumberFormat="1" applyBorder="1" applyAlignment="1">
      <alignment horizontal="right"/>
    </xf>
    <xf numFmtId="0" fontId="0" fillId="8" borderId="7" xfId="0" applyFill="1" applyBorder="1" applyAlignment="1">
      <alignment horizontal="left"/>
    </xf>
    <xf numFmtId="0" fontId="0" fillId="11" borderId="20" xfId="0" applyFill="1" applyBorder="1"/>
    <xf numFmtId="0" fontId="1" fillId="11" borderId="1" xfId="0" applyFont="1" applyFill="1" applyBorder="1" applyAlignment="1">
      <alignment horizontal="center"/>
    </xf>
    <xf numFmtId="0" fontId="0" fillId="11" borderId="11" xfId="0" applyFill="1" applyBorder="1" applyAlignment="1">
      <alignment horizontal="right"/>
    </xf>
    <xf numFmtId="0" fontId="0" fillId="11" borderId="20" xfId="0" applyFill="1" applyBorder="1" applyAlignment="1">
      <alignment horizontal="right"/>
    </xf>
    <xf numFmtId="0" fontId="0" fillId="11" borderId="12" xfId="0" applyFill="1" applyBorder="1" applyAlignment="1">
      <alignment horizontal="right"/>
    </xf>
    <xf numFmtId="0" fontId="0" fillId="11" borderId="20" xfId="0" applyFill="1" applyBorder="1" applyAlignment="1">
      <alignment horizontal="center"/>
    </xf>
    <xf numFmtId="0" fontId="0" fillId="11" borderId="20" xfId="0" applyFill="1" applyBorder="1" applyAlignment="1">
      <alignment horizontal="left"/>
    </xf>
    <xf numFmtId="0" fontId="0" fillId="6" borderId="6" xfId="0" applyFill="1" applyBorder="1"/>
    <xf numFmtId="0" fontId="0" fillId="8" borderId="6" xfId="0" applyFill="1" applyBorder="1" applyAlignment="1">
      <alignment horizontal="left"/>
    </xf>
    <xf numFmtId="0" fontId="1" fillId="11" borderId="20" xfId="0" applyFont="1" applyFill="1" applyBorder="1" applyAlignment="1">
      <alignment horizontal="center"/>
    </xf>
    <xf numFmtId="0" fontId="0" fillId="4" borderId="5" xfId="0" applyFill="1" applyBorder="1"/>
    <xf numFmtId="0" fontId="1" fillId="11" borderId="11" xfId="0" applyFont="1" applyFill="1" applyBorder="1"/>
    <xf numFmtId="0" fontId="1" fillId="11" borderId="1" xfId="0" applyFont="1" applyFill="1" applyBorder="1"/>
    <xf numFmtId="0" fontId="1" fillId="11" borderId="20" xfId="0" applyFont="1" applyFill="1" applyBorder="1" applyAlignment="1">
      <alignment horizontal="right"/>
    </xf>
    <xf numFmtId="0" fontId="0" fillId="0" borderId="16" xfId="0" applyBorder="1"/>
    <xf numFmtId="0" fontId="0" fillId="12" borderId="20" xfId="0" applyFill="1" applyBorder="1" applyAlignment="1">
      <alignment horizontal="right"/>
    </xf>
    <xf numFmtId="0" fontId="0" fillId="13" borderId="2" xfId="0" applyFill="1" applyBorder="1"/>
    <xf numFmtId="0" fontId="0" fillId="13" borderId="3" xfId="0" applyFill="1" applyBorder="1"/>
    <xf numFmtId="0" fontId="0" fillId="3" borderId="5" xfId="0" applyFill="1" applyBorder="1"/>
    <xf numFmtId="0" fontId="0" fillId="14" borderId="0" xfId="0" applyFill="1"/>
    <xf numFmtId="0" fontId="6" fillId="14" borderId="0" xfId="0" applyFont="1" applyFill="1"/>
    <xf numFmtId="1" fontId="6" fillId="14" borderId="0" xfId="0" applyNumberFormat="1" applyFont="1" applyFill="1"/>
    <xf numFmtId="0" fontId="5" fillId="14" borderId="0" xfId="0" applyFont="1" applyFill="1"/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5" xfId="0" applyBorder="1" applyProtection="1">
      <protection locked="0"/>
    </xf>
    <xf numFmtId="0" fontId="0" fillId="0" borderId="16" xfId="0" applyBorder="1" applyProtection="1">
      <protection locked="0"/>
    </xf>
    <xf numFmtId="0" fontId="6" fillId="14" borderId="22" xfId="0" applyFont="1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0" xfId="0" applyFill="1"/>
    <xf numFmtId="0" fontId="0" fillId="3" borderId="0" xfId="0" applyFill="1"/>
    <xf numFmtId="0" fontId="0" fillId="7" borderId="16" xfId="0" applyFill="1" applyBorder="1"/>
    <xf numFmtId="0" fontId="0" fillId="7" borderId="8" xfId="0" applyFill="1" applyBorder="1"/>
    <xf numFmtId="0" fontId="0" fillId="7" borderId="0" xfId="0" applyFill="1"/>
    <xf numFmtId="0" fontId="0" fillId="0" borderId="8" xfId="0" applyBorder="1"/>
    <xf numFmtId="0" fontId="0" fillId="0" borderId="0" xfId="0" applyProtection="1">
      <protection locked="0"/>
    </xf>
    <xf numFmtId="0" fontId="0" fillId="8" borderId="0" xfId="0" applyFill="1" applyAlignment="1">
      <alignment horizontal="right"/>
    </xf>
    <xf numFmtId="0" fontId="0" fillId="14" borderId="8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14" borderId="27" xfId="0" applyFill="1" applyBorder="1"/>
    <xf numFmtId="0" fontId="6" fillId="12" borderId="20" xfId="0" applyFont="1" applyFill="1" applyBorder="1"/>
    <xf numFmtId="0" fontId="7" fillId="12" borderId="20" xfId="0" applyFont="1" applyFill="1" applyBorder="1"/>
    <xf numFmtId="0" fontId="6" fillId="12" borderId="12" xfId="0" applyFont="1" applyFill="1" applyBorder="1"/>
    <xf numFmtId="0" fontId="6" fillId="14" borderId="3" xfId="0" applyFont="1" applyFill="1" applyBorder="1"/>
    <xf numFmtId="0" fontId="0" fillId="9" borderId="13" xfId="0" applyFill="1" applyBorder="1"/>
    <xf numFmtId="0" fontId="0" fillId="0" borderId="2" xfId="0" applyBorder="1"/>
    <xf numFmtId="0" fontId="0" fillId="14" borderId="28" xfId="0" applyFill="1" applyBorder="1"/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3" borderId="2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8" borderId="8" xfId="0" applyFill="1" applyBorder="1" applyAlignment="1">
      <alignment horizontal="right"/>
    </xf>
    <xf numFmtId="0" fontId="0" fillId="8" borderId="0" xfId="0" applyFill="1" applyAlignment="1">
      <alignment horizontal="right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6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8" borderId="17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1" fillId="4" borderId="2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6" borderId="15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14" borderId="2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ard" xfId="0" builtinId="0"/>
  </cellStyles>
  <dxfs count="84">
    <dxf>
      <font>
        <color rgb="FF00B050"/>
      </font>
      <fill>
        <patternFill>
          <bgColor rgb="FFAFFFD3"/>
        </patternFill>
      </fill>
    </dxf>
    <dxf>
      <font>
        <color rgb="FFFF0000"/>
      </font>
      <fill>
        <patternFill>
          <bgColor rgb="FFFFBDB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0CECE"/>
      </font>
      <fill>
        <patternFill>
          <bgColor rgb="FFD0CECE"/>
        </patternFill>
      </fill>
    </dxf>
    <dxf>
      <font>
        <color rgb="FFD0CECE"/>
      </font>
      <fill>
        <patternFill>
          <bgColor rgb="FFD0CECE"/>
        </patternFill>
      </fill>
    </dxf>
    <dxf>
      <font>
        <color rgb="FFD0CECE"/>
      </font>
    </dxf>
    <dxf>
      <font>
        <color rgb="FFD0CECE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00B050"/>
      </font>
      <fill>
        <patternFill>
          <bgColor rgb="FF5DFFA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0CECE"/>
      </font>
      <fill>
        <patternFill>
          <bgColor rgb="FFD0CECE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00B050"/>
      </font>
      <fill>
        <patternFill>
          <bgColor rgb="FF5DFFA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00B050"/>
      </font>
      <fill>
        <patternFill>
          <bgColor rgb="FF5DFFA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00B050"/>
      </font>
      <fill>
        <patternFill>
          <bgColor rgb="FF5DFFA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00B050"/>
      </font>
      <fill>
        <patternFill>
          <bgColor rgb="FF5DFFA6"/>
        </patternFill>
      </fill>
    </dxf>
    <dxf>
      <font>
        <color rgb="FFFF0000"/>
      </font>
      <fill>
        <patternFill>
          <bgColor rgb="FFFFBDBD"/>
        </patternFill>
      </fill>
    </dxf>
    <dxf>
      <font>
        <color rgb="FF00B050"/>
      </font>
      <fill>
        <patternFill>
          <bgColor rgb="FF5DFFA6"/>
        </patternFill>
      </fill>
    </dxf>
    <dxf>
      <font>
        <color rgb="FFFFBDBD"/>
      </font>
    </dxf>
    <dxf>
      <font>
        <color rgb="FFFFBDBD"/>
      </font>
    </dxf>
    <dxf>
      <font>
        <color rgb="FFD0CECE"/>
      </font>
      <fill>
        <patternFill>
          <bgColor rgb="FFD0CECE"/>
        </patternFill>
      </fill>
    </dxf>
    <dxf>
      <fill>
        <patternFill>
          <bgColor rgb="FF79DCFF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79DCFF"/>
      </font>
      <fill>
        <patternFill>
          <bgColor rgb="FF79DCFF"/>
        </patternFill>
      </fill>
    </dxf>
    <dxf>
      <font>
        <color rgb="FF79DCFF"/>
      </font>
      <fill>
        <patternFill>
          <bgColor rgb="FF79DCFF"/>
        </patternFill>
      </fill>
    </dxf>
    <dxf>
      <font>
        <color rgb="FFAFFFD3"/>
      </font>
      <fill>
        <patternFill>
          <bgColor rgb="FFAFFFD3"/>
        </patternFill>
      </fill>
    </dxf>
    <dxf>
      <font>
        <color rgb="FFAFFFD3"/>
      </font>
      <fill>
        <patternFill>
          <bgColor rgb="FFAFFFD3"/>
        </patternFill>
      </fill>
    </dxf>
    <dxf>
      <font>
        <color rgb="FFAFFFD3"/>
      </font>
      <fill>
        <patternFill>
          <bgColor rgb="FFAFFFD3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ont>
        <color rgb="FFFFBDBD"/>
      </font>
      <fill>
        <patternFill>
          <bgColor rgb="FFFFBDBD"/>
        </patternFill>
      </fill>
    </dxf>
    <dxf>
      <fill>
        <patternFill>
          <bgColor rgb="FF79DCFF"/>
        </patternFill>
      </fill>
    </dxf>
    <dxf>
      <fill>
        <patternFill>
          <bgColor rgb="FFAFFFD3"/>
        </patternFill>
      </fill>
    </dxf>
    <dxf>
      <fill>
        <patternFill>
          <bgColor rgb="FFAFFFD3"/>
        </patternFill>
      </fill>
    </dxf>
    <dxf>
      <fill>
        <patternFill>
          <bgColor rgb="FFFFBDBD"/>
        </patternFill>
      </fill>
    </dxf>
    <dxf>
      <fill>
        <patternFill>
          <bgColor rgb="FFFFBDBD"/>
        </patternFill>
      </fill>
    </dxf>
    <dxf>
      <fill>
        <patternFill>
          <bgColor rgb="FFFFBDBD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79DCFF"/>
        </patternFill>
      </fill>
    </dxf>
    <dxf>
      <fill>
        <patternFill>
          <bgColor rgb="FFAFFFD3"/>
        </patternFill>
      </fill>
    </dxf>
    <dxf>
      <fill>
        <patternFill>
          <bgColor rgb="FFAFFFD3"/>
        </patternFill>
      </fill>
    </dxf>
    <dxf>
      <fill>
        <patternFill>
          <bgColor rgb="FFFFBDBD"/>
        </patternFill>
      </fill>
    </dxf>
    <dxf>
      <fill>
        <patternFill>
          <bgColor rgb="FFFFBDBD"/>
        </patternFill>
      </fill>
    </dxf>
    <dxf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D0CECE"/>
      <color rgb="FFFFBDBD"/>
      <color rgb="FFAFFFD3"/>
      <color rgb="FF79DCFF"/>
      <color rgb="FFC80000"/>
      <color rgb="FFA80000"/>
      <color rgb="FFFF5757"/>
      <color rgb="FFD20000"/>
      <color rgb="FF8E0000"/>
      <color rgb="FF5D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BE" sz="1500" u="sng">
                <a:solidFill>
                  <a:schemeClr val="tx1"/>
                </a:solidFill>
              </a:rPr>
              <a:t>Financieel</a:t>
            </a:r>
            <a:r>
              <a:rPr lang="nl-BE" sz="1500" u="sng" baseline="0">
                <a:solidFill>
                  <a:schemeClr val="tx1"/>
                </a:solidFill>
              </a:rPr>
              <a:t> o</a:t>
            </a:r>
            <a:r>
              <a:rPr lang="nl-BE" sz="1500" u="sng">
                <a:solidFill>
                  <a:schemeClr val="tx1"/>
                </a:solidFill>
              </a:rPr>
              <a:t>verzicht veldbonenteelt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Teelt!$F$2</c:f>
              <c:strCache>
                <c:ptCount val="1"/>
                <c:pt idx="0">
                  <c:v>Totaal vaste kosten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Teelt!$G$1:$I$1</c:f>
              <c:strCache>
                <c:ptCount val="3"/>
                <c:pt idx="0">
                  <c:v>Totale kosten</c:v>
                </c:pt>
                <c:pt idx="1">
                  <c:v>Totale winsten</c:v>
                </c:pt>
                <c:pt idx="2">
                  <c:v>Saldo teelt</c:v>
                </c:pt>
              </c:strCache>
            </c:strRef>
          </c:cat>
          <c:val>
            <c:numRef>
              <c:f>Teelt!$G$2:$I$2</c:f>
              <c:numCache>
                <c:formatCode>0</c:formatCode>
                <c:ptCount val="3"/>
                <c:pt idx="0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3-4B1F-9A3B-1959C5A767DA}"/>
            </c:ext>
          </c:extLst>
        </c:ser>
        <c:ser>
          <c:idx val="1"/>
          <c:order val="1"/>
          <c:tx>
            <c:strRef>
              <c:f>Teelt!$F$3</c:f>
              <c:strCache>
                <c:ptCount val="1"/>
                <c:pt idx="0">
                  <c:v>Totaal variabele kosten</c:v>
                </c:pt>
              </c:strCache>
            </c:strRef>
          </c:tx>
          <c:spPr>
            <a:solidFill>
              <a:srgbClr val="FFBDBD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Teelt!$G$1:$I$1</c:f>
              <c:strCache>
                <c:ptCount val="3"/>
                <c:pt idx="0">
                  <c:v>Totale kosten</c:v>
                </c:pt>
                <c:pt idx="1">
                  <c:v>Totale winsten</c:v>
                </c:pt>
                <c:pt idx="2">
                  <c:v>Saldo teelt</c:v>
                </c:pt>
              </c:strCache>
            </c:strRef>
          </c:cat>
          <c:val>
            <c:numRef>
              <c:f>Teelt!$G$3:$I$3</c:f>
              <c:numCache>
                <c:formatCode>0</c:formatCode>
                <c:ptCount val="3"/>
                <c:pt idx="0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3-4B1F-9A3B-1959C5A767DA}"/>
            </c:ext>
          </c:extLst>
        </c:ser>
        <c:ser>
          <c:idx val="2"/>
          <c:order val="2"/>
          <c:tx>
            <c:strRef>
              <c:f>Teelt!$F$4</c:f>
              <c:strCache>
                <c:ptCount val="1"/>
                <c:pt idx="0">
                  <c:v>Premie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Teelt!$G$1:$I$1</c:f>
              <c:strCache>
                <c:ptCount val="3"/>
                <c:pt idx="0">
                  <c:v>Totale kosten</c:v>
                </c:pt>
                <c:pt idx="1">
                  <c:v>Totale winsten</c:v>
                </c:pt>
                <c:pt idx="2">
                  <c:v>Saldo teelt</c:v>
                </c:pt>
              </c:strCache>
            </c:strRef>
          </c:cat>
          <c:val>
            <c:numRef>
              <c:f>Teelt!$G$4:$I$4</c:f>
              <c:numCache>
                <c:formatCode>0</c:formatCode>
                <c:ptCount val="3"/>
                <c:pt idx="1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83-4B1F-9A3B-1959C5A767DA}"/>
            </c:ext>
          </c:extLst>
        </c:ser>
        <c:ser>
          <c:idx val="3"/>
          <c:order val="3"/>
          <c:tx>
            <c:strRef>
              <c:f>Teelt!$F$5</c:f>
              <c:strCache>
                <c:ptCount val="1"/>
                <c:pt idx="0">
                  <c:v>Totale opbrengst teelt</c:v>
                </c:pt>
              </c:strCache>
            </c:strRef>
          </c:tx>
          <c:spPr>
            <a:solidFill>
              <a:srgbClr val="AFFFD3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Teelt!$G$1:$I$1</c:f>
              <c:strCache>
                <c:ptCount val="3"/>
                <c:pt idx="0">
                  <c:v>Totale kosten</c:v>
                </c:pt>
                <c:pt idx="1">
                  <c:v>Totale winsten</c:v>
                </c:pt>
                <c:pt idx="2">
                  <c:v>Saldo teelt</c:v>
                </c:pt>
              </c:strCache>
            </c:strRef>
          </c:cat>
          <c:val>
            <c:numRef>
              <c:f>Teelt!$G$5:$I$5</c:f>
              <c:numCache>
                <c:formatCode>0</c:formatCode>
                <c:ptCount val="3"/>
                <c:pt idx="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83-4B1F-9A3B-1959C5A767DA}"/>
            </c:ext>
          </c:extLst>
        </c:ser>
        <c:ser>
          <c:idx val="4"/>
          <c:order val="4"/>
          <c:tx>
            <c:strRef>
              <c:f>Teelt!$F$6</c:f>
              <c:strCache>
                <c:ptCount val="1"/>
                <c:pt idx="0">
                  <c:v>Saldo teelt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Teelt!$G$1:$I$1</c:f>
              <c:strCache>
                <c:ptCount val="3"/>
                <c:pt idx="0">
                  <c:v>Totale kosten</c:v>
                </c:pt>
                <c:pt idx="1">
                  <c:v>Totale winsten</c:v>
                </c:pt>
                <c:pt idx="2">
                  <c:v>Saldo teelt</c:v>
                </c:pt>
              </c:strCache>
            </c:strRef>
          </c:cat>
          <c:val>
            <c:numRef>
              <c:f>Teelt!$G$6:$I$6</c:f>
              <c:numCache>
                <c:formatCode>0</c:formatCode>
                <c:ptCount val="3"/>
                <c:pt idx="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83-4B1F-9A3B-1959C5A767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89579904"/>
        <c:axId val="1289579072"/>
      </c:barChart>
      <c:catAx>
        <c:axId val="12895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9579072"/>
        <c:crosses val="autoZero"/>
        <c:auto val="1"/>
        <c:lblAlgn val="ctr"/>
        <c:lblOffset val="100"/>
        <c:noMultiLvlLbl val="0"/>
      </c:catAx>
      <c:valAx>
        <c:axId val="12895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1100">
                    <a:solidFill>
                      <a:schemeClr val="tx1"/>
                    </a:solidFill>
                  </a:rPr>
                  <a:t>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95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40000"/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BE" sz="1500" u="sng">
                <a:solidFill>
                  <a:schemeClr val="tx1"/>
                </a:solidFill>
              </a:rPr>
              <a:t>Financieel overzicht op</a:t>
            </a:r>
            <a:r>
              <a:rPr lang="nl-BE" sz="1500" u="sng" baseline="0">
                <a:solidFill>
                  <a:schemeClr val="tx1"/>
                </a:solidFill>
              </a:rPr>
              <a:t> basis van </a:t>
            </a:r>
            <a:r>
              <a:rPr lang="nl-BE" sz="1500" u="sng">
                <a:solidFill>
                  <a:schemeClr val="tx1"/>
                </a:solidFill>
              </a:rPr>
              <a:t>voederwaardeprijs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Vervoedering!$F$2</c:f>
              <c:strCache>
                <c:ptCount val="1"/>
                <c:pt idx="0">
                  <c:v>Aankoopkosten</c:v>
                </c:pt>
              </c:strCache>
            </c:strRef>
          </c:tx>
          <c:spPr>
            <a:solidFill>
              <a:srgbClr val="8E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80000"/>
              </a:solidFill>
              <a:ln>
                <a:solidFill>
                  <a:srgbClr val="A8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6-4848-8570-3FE4D6A41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Vervoedering!$G$2:$I$2</c:f>
              <c:numCache>
                <c:formatCode>0</c:formatCode>
                <c:ptCount val="3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6-4848-8570-3FE4D6A41771}"/>
            </c:ext>
          </c:extLst>
        </c:ser>
        <c:ser>
          <c:idx val="1"/>
          <c:order val="1"/>
          <c:tx>
            <c:strRef>
              <c:f>Vervoedering!$F$3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C80000"/>
            </a:solidFill>
            <a:ln>
              <a:solidFill>
                <a:srgbClr val="D2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Vervoedering!$G$3:$I$3</c:f>
              <c:numCache>
                <c:formatCode>0</c:formatCode>
                <c:ptCount val="3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6-4848-8570-3FE4D6A41771}"/>
            </c:ext>
          </c:extLst>
        </c:ser>
        <c:ser>
          <c:idx val="2"/>
          <c:order val="2"/>
          <c:tx>
            <c:strRef>
              <c:f>Vervoedering!$F$4</c:f>
              <c:strCache>
                <c:ptCount val="1"/>
                <c:pt idx="0">
                  <c:v>Triage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A8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Vervoedering!$G$4:$I$4</c:f>
              <c:numCache>
                <c:formatCode>0</c:formatCode>
                <c:ptCount val="3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6-4848-8570-3FE4D6A41771}"/>
            </c:ext>
          </c:extLst>
        </c:ser>
        <c:ser>
          <c:idx val="3"/>
          <c:order val="3"/>
          <c:tx>
            <c:strRef>
              <c:f>Vervoedering!$F$6</c:f>
              <c:strCache>
                <c:ptCount val="1"/>
                <c:pt idx="0">
                  <c:v>Toasten</c:v>
                </c:pt>
              </c:strCache>
            </c:strRef>
          </c:tx>
          <c:spPr>
            <a:solidFill>
              <a:srgbClr val="FF5757"/>
            </a:solidFill>
            <a:ln>
              <a:solidFill>
                <a:srgbClr val="A8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Vervoedering!$G$6:$I$6</c:f>
              <c:numCache>
                <c:formatCode>0</c:formatCode>
                <c:ptCount val="3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6-4848-8570-3FE4D6A41771}"/>
            </c:ext>
          </c:extLst>
        </c:ser>
        <c:ser>
          <c:idx val="4"/>
          <c:order val="4"/>
          <c:tx>
            <c:strRef>
              <c:f>Vervoedering!$F$7</c:f>
              <c:strCache>
                <c:ptCount val="1"/>
                <c:pt idx="0">
                  <c:v>Pletten/malen</c:v>
                </c:pt>
              </c:strCache>
            </c:strRef>
          </c:tx>
          <c:spPr>
            <a:solidFill>
              <a:srgbClr val="FFBDBD"/>
            </a:solidFill>
            <a:ln>
              <a:solidFill>
                <a:srgbClr val="A8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Vervoedering!$G$7:$I$7</c:f>
              <c:numCache>
                <c:formatCode>0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6-4848-8570-3FE4D6A41771}"/>
            </c:ext>
          </c:extLst>
        </c:ser>
        <c:ser>
          <c:idx val="5"/>
          <c:order val="5"/>
          <c:tx>
            <c:strRef>
              <c:f>Vervoedering!$F$8</c:f>
              <c:strCache>
                <c:ptCount val="1"/>
                <c:pt idx="0">
                  <c:v>Energietoeslag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Vervoedering!$G$8:$I$8</c:f>
              <c:numCache>
                <c:formatCode>0</c:formatCode>
                <c:ptCount val="3"/>
                <c:pt idx="1">
                  <c:v>189.72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D6-4848-8570-3FE4D6A41771}"/>
            </c:ext>
          </c:extLst>
        </c:ser>
        <c:ser>
          <c:idx val="6"/>
          <c:order val="6"/>
          <c:tx>
            <c:strRef>
              <c:f>Vervoedering!$F$9</c:f>
              <c:strCache>
                <c:ptCount val="1"/>
                <c:pt idx="0">
                  <c:v>Eiwittoeslag</c:v>
                </c:pt>
              </c:strCache>
            </c:strRef>
          </c:tx>
          <c:spPr>
            <a:solidFill>
              <a:srgbClr val="AFFFD3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Vervoedering!$G$9:$I$9</c:f>
              <c:numCache>
                <c:formatCode>0</c:formatCode>
                <c:ptCount val="3"/>
                <c:pt idx="1">
                  <c:v>194.39159999999998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D6-4848-8570-3FE4D6A41771}"/>
            </c:ext>
          </c:extLst>
        </c:ser>
        <c:ser>
          <c:idx val="7"/>
          <c:order val="7"/>
          <c:tx>
            <c:strRef>
              <c:f>Vervoedering!$F$10</c:f>
              <c:strCache>
                <c:ptCount val="1"/>
                <c:pt idx="0">
                  <c:v>Saldo Vervoedering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Vervoedering!$G$1:$I$1</c:f>
              <c:strCache>
                <c:ptCount val="3"/>
                <c:pt idx="0">
                  <c:v>Totale kosten</c:v>
                </c:pt>
                <c:pt idx="1">
                  <c:v>Voederwaardeprijs</c:v>
                </c:pt>
                <c:pt idx="2">
                  <c:v>Saldo vervoedering</c:v>
                </c:pt>
              </c:strCache>
            </c:strRef>
          </c:cat>
          <c:val>
            <c:numRef>
              <c:f>Vervoedering!$G$10:$I$10</c:f>
              <c:numCache>
                <c:formatCode>0</c:formatCode>
                <c:ptCount val="3"/>
                <c:pt idx="2">
                  <c:v>-85.888400000000047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D6-4848-8570-3FE4D6A417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073072"/>
        <c:axId val="2102073488"/>
      </c:barChart>
      <c:catAx>
        <c:axId val="21020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102073488"/>
        <c:crosses val="autoZero"/>
        <c:auto val="1"/>
        <c:lblAlgn val="ctr"/>
        <c:lblOffset val="100"/>
        <c:noMultiLvlLbl val="0"/>
      </c:catAx>
      <c:valAx>
        <c:axId val="21020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1100">
                    <a:solidFill>
                      <a:schemeClr val="tx1"/>
                    </a:solidFill>
                  </a:rPr>
                  <a:t>Euro/ton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10207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40000"/>
      </a:blip>
      <a:srcRect/>
      <a:stretch>
        <a:fillRect/>
      </a:stretch>
    </a:blipFill>
    <a:ln w="9525" cap="flat" cmpd="sng" algn="ctr">
      <a:solidFill>
        <a:schemeClr val="tx1">
          <a:alpha val="98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BE" sz="1500" u="sng">
                <a:solidFill>
                  <a:schemeClr val="tx1"/>
                </a:solidFill>
              </a:rPr>
              <a:t>Financieel overzicht toasten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Toasten!$F$1</c:f>
              <c:strCache>
                <c:ptCount val="1"/>
                <c:pt idx="0">
                  <c:v>Energietoeslag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Toasten!$E$2:$E$4</c:f>
              <c:strCache>
                <c:ptCount val="3"/>
                <c:pt idx="0">
                  <c:v>Voederwaardeprijs ongetoast</c:v>
                </c:pt>
                <c:pt idx="1">
                  <c:v>Voederwaardeprijs getoast</c:v>
                </c:pt>
                <c:pt idx="2">
                  <c:v>Saldo toasten</c:v>
                </c:pt>
              </c:strCache>
            </c:strRef>
          </c:cat>
          <c:val>
            <c:numRef>
              <c:f>Toasten!$F$2:$F$4</c:f>
              <c:numCache>
                <c:formatCode>0</c:formatCode>
                <c:ptCount val="3"/>
                <c:pt idx="0">
                  <c:v>189.72</c:v>
                </c:pt>
                <c:pt idx="1">
                  <c:v>189.72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A-4688-A7B6-63A25EED32D3}"/>
            </c:ext>
          </c:extLst>
        </c:ser>
        <c:ser>
          <c:idx val="1"/>
          <c:order val="1"/>
          <c:tx>
            <c:strRef>
              <c:f>Toasten!$G$1</c:f>
              <c:strCache>
                <c:ptCount val="1"/>
                <c:pt idx="0">
                  <c:v>Eiwittoeslag</c:v>
                </c:pt>
              </c:strCache>
            </c:strRef>
          </c:tx>
          <c:spPr>
            <a:solidFill>
              <a:srgbClr val="AFFFD3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Toasten!$E$2:$E$4</c:f>
              <c:strCache>
                <c:ptCount val="3"/>
                <c:pt idx="0">
                  <c:v>Voederwaardeprijs ongetoast</c:v>
                </c:pt>
                <c:pt idx="1">
                  <c:v>Voederwaardeprijs getoast</c:v>
                </c:pt>
                <c:pt idx="2">
                  <c:v>Saldo toasten</c:v>
                </c:pt>
              </c:strCache>
            </c:strRef>
          </c:cat>
          <c:val>
            <c:numRef>
              <c:f>Toasten!$G$2:$G$4</c:f>
              <c:numCache>
                <c:formatCode>0</c:formatCode>
                <c:ptCount val="3"/>
                <c:pt idx="0">
                  <c:v>148.28590000000003</c:v>
                </c:pt>
                <c:pt idx="1">
                  <c:v>194.39159999999998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A-4688-A7B6-63A25EED32D3}"/>
            </c:ext>
          </c:extLst>
        </c:ser>
        <c:ser>
          <c:idx val="2"/>
          <c:order val="2"/>
          <c:tx>
            <c:strRef>
              <c:f>Toasten!$H$1</c:f>
              <c:strCache>
                <c:ptCount val="1"/>
                <c:pt idx="0">
                  <c:v>Toastkosten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Toasten!$E$2:$E$4</c:f>
              <c:strCache>
                <c:ptCount val="3"/>
                <c:pt idx="0">
                  <c:v>Voederwaardeprijs ongetoast</c:v>
                </c:pt>
                <c:pt idx="1">
                  <c:v>Voederwaardeprijs getoast</c:v>
                </c:pt>
                <c:pt idx="2">
                  <c:v>Saldo toasten</c:v>
                </c:pt>
              </c:strCache>
            </c:strRef>
          </c:cat>
          <c:val>
            <c:numRef>
              <c:f>Toasten!$H$2:$H$4</c:f>
              <c:numCache>
                <c:formatCode>0</c:formatCode>
                <c:ptCount val="3"/>
                <c:pt idx="1">
                  <c:v>-75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A-4688-A7B6-63A25EED32D3}"/>
            </c:ext>
          </c:extLst>
        </c:ser>
        <c:ser>
          <c:idx val="3"/>
          <c:order val="3"/>
          <c:tx>
            <c:strRef>
              <c:f>Toasten!$J$1</c:f>
              <c:strCache>
                <c:ptCount val="1"/>
                <c:pt idx="0">
                  <c:v>Saldo toasten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Toasten!$E$2:$E$4</c:f>
              <c:strCache>
                <c:ptCount val="3"/>
                <c:pt idx="0">
                  <c:v>Voederwaardeprijs ongetoast</c:v>
                </c:pt>
                <c:pt idx="1">
                  <c:v>Voederwaardeprijs getoast</c:v>
                </c:pt>
                <c:pt idx="2">
                  <c:v>Saldo toasten</c:v>
                </c:pt>
              </c:strCache>
            </c:strRef>
          </c:cat>
          <c:val>
            <c:numRef>
              <c:f>Toasten!$J$2:$J$4</c:f>
              <c:numCache>
                <c:formatCode>0</c:formatCode>
                <c:ptCount val="3"/>
                <c:pt idx="2">
                  <c:v>-28.894300000000044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DA-4688-A7B6-63A25EED32D3}"/>
            </c:ext>
          </c:extLst>
        </c:ser>
        <c:ser>
          <c:idx val="4"/>
          <c:order val="4"/>
          <c:tx>
            <c:strRef>
              <c:f>Toasten!$I$1</c:f>
              <c:strCache>
                <c:ptCount val="1"/>
                <c:pt idx="0">
                  <c:v>Transportkosten</c:v>
                </c:pt>
              </c:strCache>
            </c:strRef>
          </c:tx>
          <c:spPr>
            <a:solidFill>
              <a:srgbClr val="FFBDBD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Toasten!$I$2:$I$4</c:f>
              <c:numCache>
                <c:formatCode>0</c:formatCode>
                <c:ptCount val="3"/>
                <c:pt idx="1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9-4A67-B87A-F3882032D6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89613232"/>
        <c:axId val="1289614064"/>
      </c:barChart>
      <c:catAx>
        <c:axId val="12896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9614064"/>
        <c:crosses val="autoZero"/>
        <c:auto val="1"/>
        <c:lblAlgn val="ctr"/>
        <c:lblOffset val="100"/>
        <c:noMultiLvlLbl val="0"/>
      </c:catAx>
      <c:valAx>
        <c:axId val="128961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 sz="1100">
                    <a:solidFill>
                      <a:schemeClr val="tx1"/>
                    </a:solidFill>
                  </a:rPr>
                  <a:t>Euro/ton VS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961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40000"/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8</xdr:row>
      <xdr:rowOff>179070</xdr:rowOff>
    </xdr:from>
    <xdr:to>
      <xdr:col>12</xdr:col>
      <xdr:colOff>83820</xdr:colOff>
      <xdr:row>27</xdr:row>
      <xdr:rowOff>53340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BEBB0FF2-9855-F853-A6EF-75986BC35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</xdr:colOff>
      <xdr:row>49</xdr:row>
      <xdr:rowOff>10907</xdr:rowOff>
    </xdr:from>
    <xdr:to>
      <xdr:col>3</xdr:col>
      <xdr:colOff>1329833</xdr:colOff>
      <xdr:row>52</xdr:row>
      <xdr:rowOff>99060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5B478FF-6B9E-C663-FDDF-CDEBF111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" y="8994887"/>
          <a:ext cx="6541913" cy="636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8</xdr:row>
      <xdr:rowOff>175260</xdr:rowOff>
    </xdr:from>
    <xdr:to>
      <xdr:col>14</xdr:col>
      <xdr:colOff>251460</xdr:colOff>
      <xdr:row>29</xdr:row>
      <xdr:rowOff>160020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E0C92AD-9EFC-152B-563E-5737FCC46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</xdr:colOff>
      <xdr:row>42</xdr:row>
      <xdr:rowOff>22860</xdr:rowOff>
    </xdr:from>
    <xdr:to>
      <xdr:col>3</xdr:col>
      <xdr:colOff>1986642</xdr:colOff>
      <xdr:row>45</xdr:row>
      <xdr:rowOff>158099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5BDFD8F-016D-E106-59D7-E479CBF0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" y="9624060"/>
          <a:ext cx="7025639" cy="683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5</xdr:row>
      <xdr:rowOff>3810</xdr:rowOff>
    </xdr:from>
    <xdr:to>
      <xdr:col>11</xdr:col>
      <xdr:colOff>190500</xdr:colOff>
      <xdr:row>25</xdr:row>
      <xdr:rowOff>144780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ED9E6745-8BF3-6C05-C75D-DA995C087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7621</xdr:colOff>
      <xdr:row>33</xdr:row>
      <xdr:rowOff>15240</xdr:rowOff>
    </xdr:from>
    <xdr:to>
      <xdr:col>3</xdr:col>
      <xdr:colOff>822961</xdr:colOff>
      <xdr:row>36</xdr:row>
      <xdr:rowOff>27351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C4A49BA-C810-873E-FB46-930BD6D94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1" y="6050280"/>
          <a:ext cx="5760720" cy="5607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5F4FD1-6E52-4F76-B37A-00CA5ECAEF46}" name="Eindproduct" displayName="Eindproduct" ref="C1:C4" totalsRowShown="0" dataDxfId="83">
  <autoFilter ref="C1:C4" xr:uid="{785F4FD1-6E52-4F76-B37A-00CA5ECAEF46}"/>
  <sortState xmlns:xlrd2="http://schemas.microsoft.com/office/spreadsheetml/2017/richdata2" ref="C2:C3">
    <sortCondition ref="C1:C3"/>
  </sortState>
  <tableColumns count="1">
    <tableColumn id="1" xr3:uid="{F211DA11-06C3-4AE1-95C6-58F4CD4FE338}" name="Teeltwijze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F04DB99-F189-4D9F-A375-7D1D919D143C}" name="Tabel12" displayName="Tabel12" ref="A1:A3" totalsRowShown="0">
  <autoFilter ref="A1:A3" xr:uid="{AF04DB99-F189-4D9F-A375-7D1D919D143C}"/>
  <sortState xmlns:xlrd2="http://schemas.microsoft.com/office/spreadsheetml/2017/richdata2" ref="A2:A3">
    <sortCondition ref="A1:A3"/>
  </sortState>
  <tableColumns count="1">
    <tableColumn id="1" xr3:uid="{C337E3FD-4A3D-457A-A01D-A3C782B6194C}" name="Invulwijz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7131B59-5EE6-4B08-A9B9-D53DA2C5BF40}" name="Tabel13" displayName="Tabel13" ref="E1:E12" totalsRowShown="0" dataDxfId="81">
  <autoFilter ref="E1:E12" xr:uid="{E7131B59-5EE6-4B08-A9B9-D53DA2C5BF40}"/>
  <sortState xmlns:xlrd2="http://schemas.microsoft.com/office/spreadsheetml/2017/richdata2" ref="E2:E12">
    <sortCondition ref="E1:E12"/>
  </sortState>
  <tableColumns count="1">
    <tableColumn id="1" xr3:uid="{2A7A4307-2EC9-40CD-B01E-D2E687F315CD}" name="Bewerkingen" dataDxfId="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2B13397-192D-4692-A7F9-7F617C8DDBDE}" name="Gehele_plant_silage" displayName="Gehele_plant_silage" ref="G1:G2" totalsRowShown="0">
  <autoFilter ref="G1:G2" xr:uid="{42B13397-192D-4692-A7F9-7F617C8DDBDE}"/>
  <sortState xmlns:xlrd2="http://schemas.microsoft.com/office/spreadsheetml/2017/richdata2" ref="G2">
    <sortCondition ref="G1:G2"/>
  </sortState>
  <tableColumns count="1">
    <tableColumn id="1" xr3:uid="{BBF97962-44B4-4880-A15A-F0323943816F}" name="Gehele plant silage">
      <calculatedColumnFormula>""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79C8EE-5190-4101-A322-C3F7E8C71AAC}" name="Mengteelt" displayName="Mengteelt" ref="I1:I13" totalsRowShown="0">
  <autoFilter ref="I1:I13" xr:uid="{F279C8EE-5190-4101-A322-C3F7E8C71AAC}"/>
  <sortState xmlns:xlrd2="http://schemas.microsoft.com/office/spreadsheetml/2017/richdata2" ref="I2:I13">
    <sortCondition ref="I1:I13"/>
  </sortState>
  <tableColumns count="1">
    <tableColumn id="1" xr3:uid="{CD013089-9D2A-4124-B2DF-B8F9A26C4E85}" name="Mengteel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508F6C6-9001-4D75-AA1D-97E0A980047D}" name="Reincultuur" displayName="Reincultuur" ref="K1:K7" totalsRowShown="0">
  <autoFilter ref="K1:K7" xr:uid="{6508F6C6-9001-4D75-AA1D-97E0A980047D}"/>
  <sortState xmlns:xlrd2="http://schemas.microsoft.com/office/spreadsheetml/2017/richdata2" ref="K2:K7">
    <sortCondition ref="K1:K7"/>
  </sortState>
  <tableColumns count="1">
    <tableColumn id="1" xr3:uid="{BC28FDCF-786B-42E6-AAF1-21576D1FC65F}" name="Reincultuu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4F71102-818B-4EE0-8A06-2DF6E0BF226F}" name="Tabel19" displayName="Tabel19" ref="M1:M3" totalsRowShown="0">
  <autoFilter ref="M1:M3" xr:uid="{74F71102-818B-4EE0-8A06-2DF6E0BF226F}"/>
  <tableColumns count="1">
    <tableColumn id="1" xr3:uid="{C8E3D128-C565-4BC6-AE3A-0B57D9FD5F3B}" name="Invulwijze vervoeder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CD5CAD-7342-47AF-91E1-325122C58F71}" name="Tabel20" displayName="Tabel20" ref="O1:O3" totalsRowShown="0">
  <autoFilter ref="O1:O3" xr:uid="{FDCD5CAD-7342-47AF-91E1-325122C58F71}"/>
  <tableColumns count="1">
    <tableColumn id="1" xr3:uid="{80755CBE-F65D-436B-A29E-3FC40EB9730A}" name="Vochtgehalte/D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F7E1532-4E55-483E-B1E8-7FB7DF158C00}" name="Tabel21" displayName="Tabel21" ref="Q1:Q3" totalsRowShown="0">
  <autoFilter ref="Q1:Q3" xr:uid="{FF7E1532-4E55-483E-B1E8-7FB7DF158C00}"/>
  <tableColumns count="1">
    <tableColumn id="1" xr3:uid="{CB1B1D78-524D-4AAE-AC8D-2EF32B16D68C}" name="Eenheid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028BADE-8B53-4E80-B27F-82B0C8B912ED}" name="Tabel22" displayName="Tabel22" ref="S1:S3" totalsRowShown="0">
  <autoFilter ref="S1:S3" xr:uid="{F028BADE-8B53-4E80-B27F-82B0C8B912ED}"/>
  <tableColumns count="1">
    <tableColumn id="1" xr3:uid="{F41630FF-CD41-41AB-AB7B-143C29DEDC76}" name="Verkoopprij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9D632-6851-4B12-B188-72DDBBA2056D}" name="Tabel2" displayName="Tabel2" ref="U1:U3" totalsRowShown="0">
  <autoFilter ref="U1:U3" xr:uid="{4F99D632-6851-4B12-B188-72DDBBA2056D}"/>
  <tableColumns count="1">
    <tableColumn id="1" xr3:uid="{F1B7795C-5D6E-4122-B5F4-FC3A40B5BD32}" name="Bedrijfs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741A-1526-4AEA-BBCA-519845A9CB14}">
  <dimension ref="A1:AA250"/>
  <sheetViews>
    <sheetView tabSelected="1" zoomScale="55" zoomScaleNormal="55" workbookViewId="0">
      <selection activeCell="B5" sqref="B5"/>
    </sheetView>
  </sheetViews>
  <sheetFormatPr defaultRowHeight="14.4" x14ac:dyDescent="0.3"/>
  <cols>
    <col min="1" max="1" width="31.21875" customWidth="1"/>
    <col min="2" max="2" width="28.77734375" customWidth="1"/>
    <col min="3" max="3" width="16.109375" bestFit="1" customWidth="1"/>
    <col min="4" max="4" width="19.5546875" customWidth="1"/>
    <col min="7" max="8" width="14.5546875" bestFit="1" customWidth="1"/>
    <col min="9" max="9" width="13.5546875" bestFit="1" customWidth="1"/>
  </cols>
  <sheetData>
    <row r="1" spans="1:27" ht="19.8" x14ac:dyDescent="0.4">
      <c r="A1" s="88" t="s">
        <v>0</v>
      </c>
      <c r="B1" s="89"/>
      <c r="C1" s="89"/>
      <c r="D1" s="90"/>
      <c r="E1" s="62"/>
      <c r="F1" s="62"/>
      <c r="G1" s="62" t="s">
        <v>94</v>
      </c>
      <c r="H1" s="62" t="s">
        <v>95</v>
      </c>
      <c r="I1" s="62" t="s">
        <v>102</v>
      </c>
      <c r="J1" s="62"/>
      <c r="K1" s="62"/>
      <c r="L1" s="62"/>
      <c r="M1" s="53"/>
      <c r="N1" s="53"/>
      <c r="O1" s="53"/>
      <c r="P1" s="53"/>
      <c r="Q1" s="53"/>
      <c r="R1" s="53"/>
      <c r="S1" s="52"/>
      <c r="T1" s="52"/>
      <c r="U1" s="52"/>
      <c r="V1" s="52"/>
      <c r="W1" s="52"/>
      <c r="X1" s="52"/>
      <c r="Y1" s="52"/>
      <c r="Z1" s="52"/>
      <c r="AA1" s="52"/>
    </row>
    <row r="2" spans="1:27" x14ac:dyDescent="0.3">
      <c r="A2" s="106"/>
      <c r="B2" s="107"/>
      <c r="C2" s="107"/>
      <c r="D2" s="80"/>
      <c r="E2" s="53"/>
      <c r="F2" s="53" t="str">
        <f>IF(B7="Per ha","Totaal vaste kosten","Totaal vaste kosten")</f>
        <v>Totaal vaste kosten</v>
      </c>
      <c r="G2" s="54">
        <f>C20</f>
        <v>1310</v>
      </c>
      <c r="H2" s="54"/>
      <c r="I2" s="54"/>
      <c r="J2" s="53"/>
      <c r="K2" s="53"/>
      <c r="L2" s="53"/>
      <c r="M2" s="53"/>
      <c r="N2" s="53"/>
      <c r="O2" s="53"/>
      <c r="P2" s="53"/>
      <c r="Q2" s="53"/>
      <c r="R2" s="53"/>
      <c r="S2" s="52"/>
      <c r="T2" s="52"/>
      <c r="U2" s="52"/>
      <c r="V2" s="52"/>
      <c r="W2" s="52"/>
      <c r="X2" s="52"/>
      <c r="Y2" s="52"/>
      <c r="Z2" s="52"/>
      <c r="AA2" s="52"/>
    </row>
    <row r="3" spans="1:27" x14ac:dyDescent="0.3">
      <c r="A3" s="91" t="s">
        <v>73</v>
      </c>
      <c r="B3" s="92"/>
      <c r="C3" s="92"/>
      <c r="D3" s="93"/>
      <c r="E3" s="53"/>
      <c r="F3" s="53" t="str">
        <f>IF(B7="Per ha","Totaal variabele kosten","Totaal variabele kosten")</f>
        <v>Totaal variabele kosten</v>
      </c>
      <c r="G3" s="54">
        <f>C28</f>
        <v>310</v>
      </c>
      <c r="H3" s="54"/>
      <c r="I3" s="54"/>
      <c r="J3" s="53"/>
      <c r="K3" s="53"/>
      <c r="L3" s="53"/>
      <c r="M3" s="53"/>
      <c r="N3" s="53"/>
      <c r="O3" s="53"/>
      <c r="P3" s="53"/>
      <c r="Q3" s="53"/>
      <c r="R3" s="53"/>
      <c r="S3" s="52"/>
      <c r="T3" s="52"/>
      <c r="U3" s="52"/>
      <c r="V3" s="52"/>
      <c r="W3" s="52"/>
      <c r="X3" s="52"/>
      <c r="Y3" s="52"/>
      <c r="Z3" s="52"/>
      <c r="AA3" s="52"/>
    </row>
    <row r="4" spans="1:27" x14ac:dyDescent="0.3">
      <c r="A4" s="108"/>
      <c r="B4" s="109"/>
      <c r="C4" s="109"/>
      <c r="D4" s="80"/>
      <c r="E4" s="53"/>
      <c r="F4" s="53" t="s">
        <v>99</v>
      </c>
      <c r="G4" s="54"/>
      <c r="H4" s="54">
        <f>C34</f>
        <v>600</v>
      </c>
      <c r="I4" s="54"/>
      <c r="J4" s="53"/>
      <c r="K4" s="53"/>
      <c r="L4" s="53"/>
      <c r="M4" s="53"/>
      <c r="N4" s="53"/>
      <c r="O4" s="53"/>
      <c r="P4" s="53"/>
      <c r="Q4" s="53"/>
      <c r="R4" s="53"/>
      <c r="S4" s="52"/>
      <c r="T4" s="52"/>
      <c r="U4" s="52"/>
      <c r="V4" s="52"/>
      <c r="W4" s="52"/>
      <c r="X4" s="52"/>
      <c r="Y4" s="52"/>
      <c r="Z4" s="52"/>
      <c r="AA4" s="52"/>
    </row>
    <row r="5" spans="1:27" x14ac:dyDescent="0.3">
      <c r="A5" s="85" t="s">
        <v>29</v>
      </c>
      <c r="B5" s="56" t="s">
        <v>16</v>
      </c>
      <c r="C5" s="112"/>
      <c r="D5" s="80"/>
      <c r="E5" s="53"/>
      <c r="F5" s="53" t="str">
        <f>IF(D4="Per ha","Totale opbrengst teelt","Totale opbrengst teelt")</f>
        <v>Totale opbrengst teelt</v>
      </c>
      <c r="G5" s="54"/>
      <c r="H5" s="54">
        <f>C39</f>
        <v>1650</v>
      </c>
      <c r="I5" s="54"/>
      <c r="J5" s="53"/>
      <c r="K5" s="53"/>
      <c r="L5" s="53"/>
      <c r="M5" s="53"/>
      <c r="N5" s="53"/>
      <c r="O5" s="53"/>
      <c r="P5" s="53"/>
      <c r="Q5" s="53"/>
      <c r="R5" s="53"/>
      <c r="S5" s="52"/>
      <c r="T5" s="52"/>
      <c r="U5" s="52"/>
      <c r="V5" s="52"/>
      <c r="W5" s="52"/>
      <c r="X5" s="52"/>
      <c r="Y5" s="52"/>
      <c r="Z5" s="52"/>
      <c r="AA5" s="52"/>
    </row>
    <row r="6" spans="1:27" x14ac:dyDescent="0.3">
      <c r="A6" s="85" t="str">
        <f>IF(B5="Gehele plant silage","","Beoogde bewerkingen na oogst")</f>
        <v>Beoogde bewerkingen na oogst</v>
      </c>
      <c r="B6" s="56" t="s">
        <v>28</v>
      </c>
      <c r="C6" s="112"/>
      <c r="D6" s="80"/>
      <c r="E6" s="53"/>
      <c r="F6" s="53" t="s">
        <v>102</v>
      </c>
      <c r="G6" s="54"/>
      <c r="H6" s="54"/>
      <c r="I6" s="54">
        <f>C45</f>
        <v>630</v>
      </c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2"/>
      <c r="V6" s="52"/>
      <c r="W6" s="52"/>
      <c r="X6" s="52"/>
      <c r="Y6" s="52"/>
      <c r="Z6" s="52"/>
      <c r="AA6" s="52"/>
    </row>
    <row r="7" spans="1:27" x14ac:dyDescent="0.3">
      <c r="A7" s="85" t="s">
        <v>6</v>
      </c>
      <c r="B7" s="56" t="s">
        <v>4</v>
      </c>
      <c r="C7" s="112"/>
      <c r="D7" s="80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  <c r="T7" s="52"/>
      <c r="U7" s="52"/>
      <c r="V7" s="52"/>
      <c r="W7" s="52"/>
      <c r="X7" s="52"/>
      <c r="Y7" s="52"/>
      <c r="Z7" s="52"/>
      <c r="AA7" s="52"/>
    </row>
    <row r="8" spans="1:27" x14ac:dyDescent="0.3">
      <c r="A8" s="86" t="str">
        <f>IF(B7="Per ha","","Oppervlakte veldbonenteelt (ha)")</f>
        <v/>
      </c>
      <c r="B8" s="57">
        <v>1.2</v>
      </c>
      <c r="C8" s="112"/>
      <c r="D8" s="8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2"/>
      <c r="T8" s="52"/>
      <c r="U8" s="52"/>
      <c r="V8" s="52"/>
      <c r="W8" s="52"/>
      <c r="X8" s="52"/>
      <c r="Y8" s="52"/>
      <c r="Z8" s="52"/>
      <c r="AA8" s="52"/>
    </row>
    <row r="9" spans="1:27" x14ac:dyDescent="0.3">
      <c r="A9" s="110"/>
      <c r="B9" s="111"/>
      <c r="C9" s="111"/>
      <c r="D9" s="8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2"/>
      <c r="T9" s="52"/>
      <c r="U9" s="52"/>
      <c r="V9" s="52"/>
      <c r="W9" s="52"/>
      <c r="X9" s="52"/>
      <c r="Y9" s="52"/>
      <c r="Z9" s="52"/>
      <c r="AA9" s="52"/>
    </row>
    <row r="10" spans="1:27" x14ac:dyDescent="0.3">
      <c r="A10" s="113" t="s">
        <v>13</v>
      </c>
      <c r="B10" s="114"/>
      <c r="C10" s="115"/>
      <c r="D10" s="45" t="s">
        <v>105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2"/>
      <c r="T10" s="52"/>
      <c r="U10" s="52"/>
      <c r="V10" s="52"/>
      <c r="W10" s="52"/>
      <c r="X10" s="52"/>
      <c r="Y10" s="52"/>
      <c r="Z10" s="52"/>
      <c r="AA10" s="52"/>
    </row>
    <row r="11" spans="1:27" x14ac:dyDescent="0.3">
      <c r="A11" s="103"/>
      <c r="B11" s="104"/>
      <c r="C11" s="105"/>
      <c r="D11" s="4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2"/>
      <c r="T11" s="52"/>
      <c r="U11" s="52"/>
      <c r="V11" s="52"/>
      <c r="W11" s="52"/>
      <c r="X11" s="52"/>
      <c r="Y11" s="52"/>
      <c r="Z11" s="52"/>
      <c r="AA11" s="52"/>
    </row>
    <row r="12" spans="1:27" x14ac:dyDescent="0.3">
      <c r="A12" s="100" t="s">
        <v>7</v>
      </c>
      <c r="B12" s="101"/>
      <c r="C12" s="102"/>
      <c r="D12" s="46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2"/>
      <c r="T12" s="52"/>
      <c r="U12" s="52"/>
      <c r="V12" s="52"/>
      <c r="W12" s="52"/>
      <c r="X12" s="52"/>
      <c r="Y12" s="52"/>
      <c r="Z12" s="52"/>
      <c r="AA12" s="52"/>
    </row>
    <row r="13" spans="1:27" x14ac:dyDescent="0.3">
      <c r="A13" s="63" t="s">
        <v>30</v>
      </c>
      <c r="B13" s="3"/>
      <c r="C13" s="58">
        <v>300</v>
      </c>
      <c r="D13" s="36" t="s">
        <v>115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  <c r="T13" s="52"/>
      <c r="U13" s="52"/>
      <c r="V13" s="52"/>
      <c r="W13" s="52"/>
      <c r="X13" s="52"/>
      <c r="Y13" s="52"/>
      <c r="Z13" s="52"/>
      <c r="AA13" s="52"/>
    </row>
    <row r="14" spans="1:27" x14ac:dyDescent="0.3">
      <c r="A14" s="63" t="s">
        <v>31</v>
      </c>
      <c r="B14" s="3"/>
      <c r="C14" s="58">
        <v>180</v>
      </c>
      <c r="D14" s="3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  <c r="T14" s="52"/>
      <c r="U14" s="52"/>
      <c r="V14" s="52"/>
      <c r="W14" s="52"/>
      <c r="X14" s="52"/>
      <c r="Y14" s="52"/>
      <c r="Z14" s="52"/>
      <c r="AA14" s="52"/>
    </row>
    <row r="15" spans="1:27" x14ac:dyDescent="0.3">
      <c r="A15" s="63" t="s">
        <v>8</v>
      </c>
      <c r="B15" s="3" t="s">
        <v>32</v>
      </c>
      <c r="C15" s="58">
        <v>300</v>
      </c>
      <c r="D15" s="36" t="s">
        <v>114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2"/>
      <c r="T15" s="52"/>
      <c r="U15" s="52"/>
      <c r="V15" s="52"/>
      <c r="W15" s="52"/>
      <c r="X15" s="52"/>
      <c r="Y15" s="52"/>
      <c r="Z15" s="52"/>
      <c r="AA15" s="52"/>
    </row>
    <row r="16" spans="1:27" x14ac:dyDescent="0.3">
      <c r="A16" s="64"/>
      <c r="B16" s="65" t="s">
        <v>33</v>
      </c>
      <c r="C16" s="59">
        <v>100</v>
      </c>
      <c r="D16" s="3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2"/>
      <c r="T16" s="52"/>
      <c r="U16" s="52"/>
      <c r="V16" s="52"/>
      <c r="W16" s="52"/>
      <c r="X16" s="52"/>
      <c r="Y16" s="52"/>
      <c r="Z16" s="52"/>
      <c r="AA16" s="52"/>
    </row>
    <row r="17" spans="1:27" x14ac:dyDescent="0.3">
      <c r="A17" s="63" t="s">
        <v>9</v>
      </c>
      <c r="B17" s="3" t="s">
        <v>34</v>
      </c>
      <c r="C17" s="58">
        <v>100</v>
      </c>
      <c r="D17" s="3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2"/>
      <c r="T17" s="52"/>
      <c r="U17" s="52"/>
      <c r="V17" s="52"/>
      <c r="W17" s="52"/>
      <c r="X17" s="52"/>
      <c r="Y17" s="52"/>
      <c r="Z17" s="52"/>
      <c r="AA17" s="52"/>
    </row>
    <row r="18" spans="1:27" x14ac:dyDescent="0.3">
      <c r="A18" s="64"/>
      <c r="B18" s="65" t="s">
        <v>35</v>
      </c>
      <c r="C18" s="59">
        <v>50</v>
      </c>
      <c r="D18" s="3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2"/>
      <c r="T18" s="52"/>
      <c r="U18" s="52"/>
      <c r="V18" s="52"/>
      <c r="W18" s="52"/>
      <c r="X18" s="52"/>
      <c r="Y18" s="52"/>
      <c r="Z18" s="52"/>
      <c r="AA18" s="52"/>
    </row>
    <row r="19" spans="1:27" x14ac:dyDescent="0.3">
      <c r="A19" s="63" t="s">
        <v>36</v>
      </c>
      <c r="B19" s="3"/>
      <c r="C19" s="58">
        <v>280</v>
      </c>
      <c r="D19" s="3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2"/>
      <c r="T19" s="52"/>
      <c r="U19" s="52"/>
      <c r="V19" s="52"/>
      <c r="W19" s="52"/>
      <c r="X19" s="52"/>
      <c r="Y19" s="52"/>
      <c r="Z19" s="52"/>
      <c r="AA19" s="52"/>
    </row>
    <row r="20" spans="1:27" x14ac:dyDescent="0.3">
      <c r="A20" s="96" t="str">
        <f>IF(B7="Per ha","Totaal vaste kosten (€/ha)","Totaal vaste kosten (€)")</f>
        <v>Totaal vaste kosten (€/ha)</v>
      </c>
      <c r="B20" s="97"/>
      <c r="C20" s="3">
        <f>SUM(C13:C19)</f>
        <v>1310</v>
      </c>
      <c r="D20" s="3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2"/>
      <c r="T20" s="52"/>
      <c r="U20" s="52"/>
      <c r="V20" s="52"/>
      <c r="W20" s="52"/>
      <c r="X20" s="52"/>
      <c r="Y20" s="52"/>
      <c r="Z20" s="52"/>
      <c r="AA20" s="52"/>
    </row>
    <row r="21" spans="1:27" x14ac:dyDescent="0.3">
      <c r="A21" s="98" t="str">
        <f>IF(B7="Over volledig areaal veldbonen","Per ha","")</f>
        <v/>
      </c>
      <c r="B21" s="99"/>
      <c r="C21" s="24" t="str">
        <f>IF(B7="Over volledig areaal veldbonen",C20/B8,"")</f>
        <v/>
      </c>
      <c r="D21" s="36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3">
      <c r="A22" s="100" t="s">
        <v>10</v>
      </c>
      <c r="B22" s="101"/>
      <c r="C22" s="102"/>
      <c r="D22" s="36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2"/>
      <c r="T22" s="52"/>
      <c r="U22" s="52"/>
      <c r="V22" s="52"/>
      <c r="W22" s="52"/>
      <c r="X22" s="52"/>
      <c r="Y22" s="52"/>
      <c r="Z22" s="52"/>
      <c r="AA22" s="52"/>
    </row>
    <row r="23" spans="1:27" x14ac:dyDescent="0.3">
      <c r="A23" s="63" t="s">
        <v>11</v>
      </c>
      <c r="B23" s="3" t="s">
        <v>37</v>
      </c>
      <c r="C23" s="58">
        <v>270</v>
      </c>
      <c r="D23" s="36" t="s">
        <v>113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2"/>
      <c r="T23" s="52"/>
      <c r="U23" s="52"/>
      <c r="V23" s="52"/>
      <c r="W23" s="52"/>
      <c r="X23" s="52"/>
      <c r="Y23" s="52"/>
      <c r="Z23" s="52"/>
      <c r="AA23" s="52"/>
    </row>
    <row r="24" spans="1:27" x14ac:dyDescent="0.3">
      <c r="A24" s="64"/>
      <c r="B24" s="65" t="s">
        <v>38</v>
      </c>
      <c r="C24" s="59">
        <v>40</v>
      </c>
      <c r="D24" s="36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2"/>
      <c r="T24" s="52"/>
      <c r="U24" s="52"/>
      <c r="V24" s="52"/>
      <c r="W24" s="52"/>
      <c r="X24" s="52"/>
      <c r="Y24" s="52"/>
      <c r="Z24" s="52"/>
      <c r="AA24" s="52"/>
    </row>
    <row r="25" spans="1:27" x14ac:dyDescent="0.3">
      <c r="A25" s="47" t="str">
        <f>IF(OR(B6="Geen",B6="Malen",B6="Pletten",B6="Toasten",B6="Toasten &amp; malen",B6="Toasten &amp; pletten"),"","Triage (€)")</f>
        <v/>
      </c>
      <c r="B25" s="4"/>
      <c r="C25" s="60">
        <v>300</v>
      </c>
      <c r="D25" s="36" t="str">
        <f>IF(OR(B5="Gehele plant silage",A25=""),"","50 €/ton")</f>
        <v/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3">
      <c r="A26" s="47" t="str">
        <f>IF(OR(B6="Geen",B6="Malen",B6="Pletten",B6="Triëren/scheiden",B6="Triëren &amp; malen",B6="Triëren &amp; pletten"),"","Toasten (€)")</f>
        <v/>
      </c>
      <c r="B26" s="4"/>
      <c r="C26" s="60">
        <v>350</v>
      </c>
      <c r="D26" s="36" t="str">
        <f>IF(OR(B5="Gehele plant silage",A26=""),"","75 €/ton")</f>
        <v/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3">
      <c r="A27" s="47" t="str">
        <f>IF(OR(B6="Geen",B6="Toasten",B6="Triëren/scheiden",B6="Toasten &amp; triëren"),"","Pletten/malen (€)")</f>
        <v/>
      </c>
      <c r="B27" s="4"/>
      <c r="C27" s="60">
        <v>150</v>
      </c>
      <c r="D27" s="36" t="str">
        <f>IF(OR(B5="Gehele plant silage",A27=""),"","35 €/ton")</f>
        <v/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3">
      <c r="A28" s="96" t="str">
        <f>IF(B7="Per ha","Totaal variabele kosten (€/ha)","Totaal variabele kosten (€)")</f>
        <v>Totaal variabele kosten (€/ha)</v>
      </c>
      <c r="B28" s="97"/>
      <c r="C28" s="3">
        <f>IF(B5="Gehele plant silage",SUM(C23:C24),E28)</f>
        <v>310</v>
      </c>
      <c r="D28" s="36"/>
      <c r="E28" s="53">
        <f>IF(OR(B6="Toasten, triëren &amp; malen", B6="Toasten, triëren &amp; pletten"),SUM(C23:C27),IF(OR(B6="Triëren &amp; malen",B6="Triëren &amp; pletten"),SUM(C23:C25,C27),IF(B6="Triëren/scheiden",SUM(C23:C25),IF(OR(B6="Toasten &amp; malen",B6="Toasten &amp; pletten"),SUM(C23:C24,C26:C27),IF(B6="Toasten",SUM(C23:C24,C26),IF(B6="Toasten &amp; triëren",SUM(C23:C26),IF(OR(B6="Pletten",B6="Malen"),SUM(C23:C24,C27),SUM(C23:C24))))))))</f>
        <v>310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3">
      <c r="A29" s="98" t="str">
        <f>IF(B7="Over volledig areaal veldbonen","Per ha","")</f>
        <v/>
      </c>
      <c r="B29" s="99"/>
      <c r="C29" s="24" t="str">
        <f>IF(B7="Over volledig areaal veldbonen",C28/B8,"")</f>
        <v/>
      </c>
      <c r="D29" s="36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3">
      <c r="A30" s="94" t="str">
        <f>IF(B7="Per ha","Totale teeltkosten (€/ha)","Totale teeltkosten (€)")</f>
        <v>Totale teeltkosten (€/ha)</v>
      </c>
      <c r="B30" s="95"/>
      <c r="C30" s="66">
        <f>C20+C28</f>
        <v>1620</v>
      </c>
      <c r="D30" s="3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3">
      <c r="A31" s="98" t="str">
        <f>IF(B7="Over volledig areaal veldbonen","Per ha","")</f>
        <v/>
      </c>
      <c r="B31" s="99"/>
      <c r="C31" s="24" t="str">
        <f>IF(B7="Over volledig areaal veldbonen",C29+C21,"")</f>
        <v/>
      </c>
      <c r="D31" s="3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3">
      <c r="A32" s="118"/>
      <c r="B32" s="119"/>
      <c r="C32" s="120"/>
      <c r="D32" s="3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3">
      <c r="A33" s="127" t="s">
        <v>14</v>
      </c>
      <c r="B33" s="128"/>
      <c r="C33" s="129"/>
      <c r="D33" s="3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3">
      <c r="A34" s="67" t="s">
        <v>39</v>
      </c>
      <c r="B34" s="8"/>
      <c r="C34" s="58">
        <v>600</v>
      </c>
      <c r="D34" s="36" t="s">
        <v>117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3">
      <c r="A35" s="67" t="str">
        <f>IF(AND(B5="Mengteelt", OR(B6="Geen",B6="Malen",B6="Pletten",B6="Toasten",B6="Toasten &amp; malen",B6="Toasten &amp; pletten")),"Opbrengst mengteelt (ton)","Opbrengst veldbonen (ton)")</f>
        <v>Opbrengst veldbonen (ton)</v>
      </c>
      <c r="B35" s="8"/>
      <c r="C35" s="58">
        <v>5</v>
      </c>
      <c r="D35" s="36" t="s">
        <v>129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3">
      <c r="A36" s="68" t="str">
        <f>IF(AND(B5="Mengteelt", OR(B6="Geen",B6="Malen",B6="Pletten",B6="Toasten",B6="Toasten &amp; malen",B6="Toasten &amp; pletten")),"Verkoopprijs mengteelt (€/ton)","Verkoopprijs veldbonen (€/ton)")</f>
        <v>Verkoopprijs veldbonen (€/ton)</v>
      </c>
      <c r="B36" s="69"/>
      <c r="C36" s="59">
        <v>330</v>
      </c>
      <c r="D36" s="39" t="s">
        <v>119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3">
      <c r="A37" s="47" t="str">
        <f>IF(AND(B5="Mengteelt", OR(B6="Geen",B6="Malen",B6="Pletten",B6="Toasten",B6="Toasten &amp; malen",B6="Toasten &amp; pletten")),"",(IF(B5="Gehele plant silage","",(IF(B5="Reincultuur","","Opbrengst granen (ton)")))))</f>
        <v/>
      </c>
      <c r="B37" s="4"/>
      <c r="C37" s="60">
        <v>3</v>
      </c>
      <c r="D37" s="3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3">
      <c r="A38" s="70" t="str">
        <f>IF(AND(B5="Mengteelt",OR(B6="Geen",B6="Malen",B6="Pletten",B6="Toasten",B6="Toasten &amp; malen",B6="Toasten &amp; pletten")),"",(IF(B5="Gehele plant silage","",(IF(B5="Reincultuur","","Verkoopprijs granen (€/ton)")))))</f>
        <v/>
      </c>
      <c r="C38" s="71">
        <v>240</v>
      </c>
      <c r="D38" s="36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3">
      <c r="A39" s="121" t="str">
        <f>IF(B7="Per ha","Totale opbrengst teelt (€/ha)","Totale opbrengst teelt (€)")</f>
        <v>Totale opbrengst teelt (€/ha)</v>
      </c>
      <c r="B39" s="122"/>
      <c r="C39" s="8">
        <f>IF(A37="",C35*C36,(C35*C36)+(C37*C38))</f>
        <v>1650</v>
      </c>
      <c r="D39" s="3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3">
      <c r="A40" s="135" t="str">
        <f>IF(B7="Over volledig areaal veldbonen","Per ha","")</f>
        <v/>
      </c>
      <c r="B40" s="136"/>
      <c r="C40" t="str">
        <f>IF(B7="Over volledig areaal veldbonen",C39/B8,"")</f>
        <v/>
      </c>
      <c r="D40" s="3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3">
      <c r="A41" s="121" t="str">
        <f>IF(B7="Per ha","Totale winst (€/ha)","Totale winst (€)")</f>
        <v>Totale winst (€/ha)</v>
      </c>
      <c r="B41" s="122"/>
      <c r="C41" s="43">
        <f>C39+C34</f>
        <v>2250</v>
      </c>
      <c r="D41" s="3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3">
      <c r="A42" s="98" t="str">
        <f>IF(B7="Over volledig areaal veldbonen","Per ha","")</f>
        <v/>
      </c>
      <c r="B42" s="99"/>
      <c r="C42" s="24" t="str">
        <f>IF(B7="Over volledig areaal veldbonen",C41/B8,"")</f>
        <v/>
      </c>
      <c r="D42" s="36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2"/>
      <c r="T42" s="52"/>
      <c r="U42" s="52"/>
      <c r="V42" s="52"/>
      <c r="W42" s="52"/>
      <c r="X42" s="52"/>
      <c r="Y42" s="52"/>
      <c r="Z42" s="52"/>
      <c r="AA42" s="52"/>
    </row>
    <row r="43" spans="1:27" ht="15" thickBot="1" x14ac:dyDescent="0.35">
      <c r="A43" s="133"/>
      <c r="B43" s="134"/>
      <c r="C43" s="134"/>
      <c r="D43" s="36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2"/>
      <c r="T43" s="52"/>
      <c r="U43" s="52"/>
      <c r="V43" s="52"/>
      <c r="W43" s="52"/>
      <c r="X43" s="52"/>
      <c r="Y43" s="52"/>
      <c r="Z43" s="52"/>
      <c r="AA43" s="52"/>
    </row>
    <row r="44" spans="1:27" ht="15" thickBot="1" x14ac:dyDescent="0.35">
      <c r="A44" s="130" t="s">
        <v>15</v>
      </c>
      <c r="B44" s="131"/>
      <c r="C44" s="132"/>
      <c r="D44" s="36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3">
      <c r="A45" s="125" t="s">
        <v>40</v>
      </c>
      <c r="B45" s="126"/>
      <c r="C45" s="72">
        <f>C41-C30</f>
        <v>630</v>
      </c>
      <c r="D45" s="3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3">
      <c r="A46" s="116" t="str">
        <f>IF(B7="Over volledig areaal veldbonen","Per ha","")</f>
        <v/>
      </c>
      <c r="B46" s="117"/>
      <c r="C46" s="6" t="str">
        <f>IF(B7="Over volledig areaal veldbonen",C45/B8,"")</f>
        <v/>
      </c>
      <c r="D46" s="36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2"/>
      <c r="T46" s="52"/>
      <c r="U46" s="52"/>
      <c r="V46" s="52"/>
      <c r="W46" s="52"/>
      <c r="X46" s="52"/>
      <c r="Y46" s="52"/>
      <c r="Z46" s="52"/>
      <c r="AA46" s="52"/>
    </row>
    <row r="47" spans="1:27" x14ac:dyDescent="0.3">
      <c r="A47" s="123" t="str">
        <f>IF(OR(B6="Geen",B6="Malen",B6="Pletten",B6="Toasten",B6="Toasten &amp; malen",B6="Toasten &amp; pletten"),"Verkoopprijs voor break-even (€/ton)","Verkoopprijzen voor break-even")</f>
        <v>Verkoopprijs voor break-even (€/ton)</v>
      </c>
      <c r="B47" s="124"/>
      <c r="C47" s="14">
        <f>IF(B5="Gehele plant silage",E47,F47)</f>
        <v>204</v>
      </c>
      <c r="D47" s="36"/>
      <c r="E47" s="53">
        <f>(C30-C34)/C35</f>
        <v>204</v>
      </c>
      <c r="F47" s="53">
        <f>IF(OR(B6="Geen",B6="Malen",B6="Pletten",B6="Toasten",B6="Toasten &amp; malen",B6="Toasten &amp; pletten"),(C30-C34)/C35,"")</f>
        <v>204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2"/>
      <c r="T47" s="52"/>
      <c r="U47" s="52"/>
      <c r="V47" s="52"/>
      <c r="W47" s="52"/>
      <c r="X47" s="52"/>
      <c r="Y47" s="52"/>
      <c r="Z47" s="52"/>
      <c r="AA47" s="52"/>
    </row>
    <row r="48" spans="1:27" x14ac:dyDescent="0.3">
      <c r="A48" s="61" t="s">
        <v>91</v>
      </c>
      <c r="B48" s="4"/>
      <c r="C48" s="60">
        <v>350</v>
      </c>
      <c r="D48" s="36" t="str">
        <f>IF(OR(B5="Gehele plant silage",A25=""),"","330 €/ton")</f>
        <v/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2"/>
      <c r="T48" s="52"/>
      <c r="U48" s="52"/>
      <c r="V48" s="52"/>
      <c r="W48" s="52"/>
      <c r="X48" s="52"/>
      <c r="Y48" s="52"/>
      <c r="Z48" s="52"/>
      <c r="AA48" s="52"/>
    </row>
    <row r="49" spans="1:27" ht="15" thickBot="1" x14ac:dyDescent="0.35">
      <c r="A49" s="27" t="str">
        <f>IF(A48="Verkoopprijs veldbonen (€/ton)","Verkoopprijs granen (€/ton)",(IF(A48="Verkoopprijs granen (€/ton)","Verkoopprijs veldbonen (€/ton)","")))</f>
        <v>Verkoopprijs granen (€/ton)</v>
      </c>
      <c r="B49" s="28"/>
      <c r="C49" s="28">
        <f>IF(A48="Verkoopprijs veldbonen (€/ton)", (C30-C34-(C35*C48))/C37,(C30-C34-(C37*C48))/C35)</f>
        <v>-243.33333333333334</v>
      </c>
      <c r="D49" s="37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2"/>
      <c r="T49" s="52"/>
      <c r="U49" s="52"/>
      <c r="V49" s="52"/>
      <c r="W49" s="52"/>
      <c r="X49" s="52"/>
      <c r="Y49" s="52"/>
      <c r="Z49" s="52"/>
      <c r="AA49" s="52"/>
    </row>
    <row r="50" spans="1:27" x14ac:dyDescent="0.3">
      <c r="A50" s="73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2"/>
      <c r="T50" s="52"/>
      <c r="U50" s="52"/>
      <c r="V50" s="52"/>
      <c r="W50" s="52"/>
      <c r="X50" s="52"/>
      <c r="Y50" s="52"/>
      <c r="Z50" s="52"/>
      <c r="AA50" s="52"/>
    </row>
    <row r="51" spans="1:27" x14ac:dyDescent="0.3">
      <c r="A51" s="73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2"/>
      <c r="T51" s="52"/>
      <c r="U51" s="52"/>
      <c r="V51" s="52"/>
      <c r="W51" s="52"/>
      <c r="X51" s="52"/>
      <c r="Y51" s="52"/>
      <c r="Z51" s="52"/>
      <c r="AA51" s="52"/>
    </row>
    <row r="52" spans="1:27" x14ac:dyDescent="0.3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2"/>
      <c r="T52" s="52"/>
      <c r="U52" s="52"/>
      <c r="V52" s="52"/>
      <c r="W52" s="52"/>
      <c r="X52" s="52"/>
      <c r="Y52" s="52"/>
      <c r="Z52" s="52"/>
      <c r="AA52" s="52"/>
    </row>
    <row r="53" spans="1:27" x14ac:dyDescent="0.3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2"/>
      <c r="T53" s="52"/>
      <c r="U53" s="52"/>
      <c r="V53" s="52"/>
      <c r="W53" s="52"/>
      <c r="X53" s="52"/>
      <c r="Y53" s="52"/>
      <c r="Z53" s="52"/>
      <c r="AA53" s="52"/>
    </row>
    <row r="54" spans="1:27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x14ac:dyDescent="0.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x14ac:dyDescent="0.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x14ac:dyDescent="0.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x14ac:dyDescent="0.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x14ac:dyDescent="0.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x14ac:dyDescent="0.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x14ac:dyDescent="0.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x14ac:dyDescent="0.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x14ac:dyDescent="0.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x14ac:dyDescent="0.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x14ac:dyDescent="0.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x14ac:dyDescent="0.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x14ac:dyDescent="0.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x14ac:dyDescent="0.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x14ac:dyDescent="0.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x14ac:dyDescent="0.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x14ac:dyDescent="0.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x14ac:dyDescent="0.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x14ac:dyDescent="0.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x14ac:dyDescent="0.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x14ac:dyDescent="0.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x14ac:dyDescent="0.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x14ac:dyDescent="0.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x14ac:dyDescent="0.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x14ac:dyDescent="0.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x14ac:dyDescent="0.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x14ac:dyDescent="0.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x14ac:dyDescent="0.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x14ac:dyDescent="0.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x14ac:dyDescent="0.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x14ac:dyDescent="0.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x14ac:dyDescent="0.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x14ac:dyDescent="0.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x14ac:dyDescent="0.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x14ac:dyDescent="0.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x14ac:dyDescent="0.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x14ac:dyDescent="0.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x14ac:dyDescent="0.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x14ac:dyDescent="0.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x14ac:dyDescent="0.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x14ac:dyDescent="0.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x14ac:dyDescent="0.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x14ac:dyDescent="0.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x14ac:dyDescent="0.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x14ac:dyDescent="0.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x14ac:dyDescent="0.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x14ac:dyDescent="0.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x14ac:dyDescent="0.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x14ac:dyDescent="0.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x14ac:dyDescent="0.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x14ac:dyDescent="0.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x14ac:dyDescent="0.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x14ac:dyDescent="0.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x14ac:dyDescent="0.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x14ac:dyDescent="0.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1:27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7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27" x14ac:dyDescent="0.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1:27" x14ac:dyDescent="0.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1:27" x14ac:dyDescent="0.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1:27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27" x14ac:dyDescent="0.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1:27" x14ac:dyDescent="0.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1:27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1:27" x14ac:dyDescent="0.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1:27" x14ac:dyDescent="0.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1:27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1:27" x14ac:dyDescent="0.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1:27" x14ac:dyDescent="0.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x14ac:dyDescent="0.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1:27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1:27" x14ac:dyDescent="0.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1:27" x14ac:dyDescent="0.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1:27" x14ac:dyDescent="0.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1:27" x14ac:dyDescent="0.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1:27" x14ac:dyDescent="0.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1:27" x14ac:dyDescent="0.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x14ac:dyDescent="0.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7" x14ac:dyDescent="0.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7" x14ac:dyDescent="0.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1:27" x14ac:dyDescent="0.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1:27" x14ac:dyDescent="0.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1:27" x14ac:dyDescent="0.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1:27" x14ac:dyDescent="0.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x14ac:dyDescent="0.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1:27" x14ac:dyDescent="0.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1:27" x14ac:dyDescent="0.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1:27" x14ac:dyDescent="0.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1:27" x14ac:dyDescent="0.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1:27" x14ac:dyDescent="0.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1:27" x14ac:dyDescent="0.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1:27" x14ac:dyDescent="0.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1:27" x14ac:dyDescent="0.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1:27" x14ac:dyDescent="0.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1:27" x14ac:dyDescent="0.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1:27" x14ac:dyDescent="0.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1:27" x14ac:dyDescent="0.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1:27" x14ac:dyDescent="0.3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1:27" x14ac:dyDescent="0.3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1:27" x14ac:dyDescent="0.3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1:27" x14ac:dyDescent="0.3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1:27" x14ac:dyDescent="0.3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1:27" x14ac:dyDescent="0.3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1:27" x14ac:dyDescent="0.3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1:27" x14ac:dyDescent="0.3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1:27" x14ac:dyDescent="0.3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</sheetData>
  <sheetProtection algorithmName="SHA-512" hashValue="uYXq5JddlCfLgsYPzMKVzfxwbpg0vpA0dvR2P0vSK3iiuW6FI1b8m0LYFkw1JoU16/w4snmNwJDzLsoNSnSZdw==" saltValue="9CJwyX/eN2Cnd6jsUlEsLA==" spinCount="100000" sheet="1" objects="1" scenarios="1" selectLockedCells="1"/>
  <mergeCells count="27">
    <mergeCell ref="A46:B46"/>
    <mergeCell ref="A31:B31"/>
    <mergeCell ref="A32:C32"/>
    <mergeCell ref="A41:B41"/>
    <mergeCell ref="A47:B47"/>
    <mergeCell ref="A45:B45"/>
    <mergeCell ref="A39:B39"/>
    <mergeCell ref="A33:C33"/>
    <mergeCell ref="A44:C44"/>
    <mergeCell ref="A43:C43"/>
    <mergeCell ref="A42:B42"/>
    <mergeCell ref="A40:B40"/>
    <mergeCell ref="A1:D1"/>
    <mergeCell ref="A3:D3"/>
    <mergeCell ref="A30:B30"/>
    <mergeCell ref="A28:B28"/>
    <mergeCell ref="A20:B20"/>
    <mergeCell ref="A21:B21"/>
    <mergeCell ref="A29:B29"/>
    <mergeCell ref="A12:C12"/>
    <mergeCell ref="A22:C22"/>
    <mergeCell ref="A11:C11"/>
    <mergeCell ref="A2:C2"/>
    <mergeCell ref="A4:C4"/>
    <mergeCell ref="A9:C9"/>
    <mergeCell ref="C5:C8"/>
    <mergeCell ref="A10:C10"/>
  </mergeCells>
  <conditionalFormatting sqref="A8">
    <cfRule type="expression" dxfId="79" priority="12">
      <formula>$B$7="Over volledig areaal veldbonen"</formula>
    </cfRule>
  </conditionalFormatting>
  <conditionalFormatting sqref="A21 C21">
    <cfRule type="expression" dxfId="78" priority="50">
      <formula>$A$21="Per ha"</formula>
    </cfRule>
  </conditionalFormatting>
  <conditionalFormatting sqref="A29 C29">
    <cfRule type="expression" dxfId="77" priority="39">
      <formula>$A$29="Per ha"</formula>
    </cfRule>
  </conditionalFormatting>
  <conditionalFormatting sqref="A31 C31">
    <cfRule type="expression" dxfId="76" priority="37">
      <formula>$A$31="Per ha"</formula>
    </cfRule>
  </conditionalFormatting>
  <conditionalFormatting sqref="A40 C40">
    <cfRule type="expression" dxfId="75" priority="31">
      <formula>$A$40="Per ha"</formula>
    </cfRule>
  </conditionalFormatting>
  <conditionalFormatting sqref="A42 C42">
    <cfRule type="expression" dxfId="74" priority="29">
      <formula>$A$42="Per ha"</formula>
    </cfRule>
  </conditionalFormatting>
  <conditionalFormatting sqref="A46 C46">
    <cfRule type="expression" dxfId="73" priority="27">
      <formula>$A$46="Per ha"</formula>
    </cfRule>
  </conditionalFormatting>
  <conditionalFormatting sqref="A48">
    <cfRule type="expression" dxfId="72" priority="8">
      <formula>$A$37="Opbrengst granen (ton)"</formula>
    </cfRule>
  </conditionalFormatting>
  <conditionalFormatting sqref="A48:A49">
    <cfRule type="expression" dxfId="71" priority="17">
      <formula>$A$47="Verkoopprijs voor break-even (€/ton)"</formula>
    </cfRule>
  </conditionalFormatting>
  <conditionalFormatting sqref="A6:B6">
    <cfRule type="expression" dxfId="70" priority="9">
      <formula>$B$5="Gehele plant silage"</formula>
    </cfRule>
  </conditionalFormatting>
  <conditionalFormatting sqref="A8:B8">
    <cfRule type="expression" dxfId="69" priority="13">
      <formula>$B$7="Per ha"</formula>
    </cfRule>
  </conditionalFormatting>
  <conditionalFormatting sqref="A25:B25">
    <cfRule type="expression" dxfId="68" priority="44">
      <formula>$A$25="Triage (€)"</formula>
    </cfRule>
  </conditionalFormatting>
  <conditionalFormatting sqref="A26:B26">
    <cfRule type="expression" dxfId="67" priority="42">
      <formula>$A$26="Toasten (€)"</formula>
    </cfRule>
  </conditionalFormatting>
  <conditionalFormatting sqref="A27:B27">
    <cfRule type="expression" dxfId="66" priority="40">
      <formula>$A$27="Pletten/malen (€)"</formula>
    </cfRule>
  </conditionalFormatting>
  <conditionalFormatting sqref="A37:B37">
    <cfRule type="expression" dxfId="65" priority="33">
      <formula>$A$37="Opbrengst granen (ton)"</formula>
    </cfRule>
  </conditionalFormatting>
  <conditionalFormatting sqref="A38:B38">
    <cfRule type="expression" dxfId="64" priority="32">
      <formula>$A$38="Verkoopprijs granen (€/ton)"</formula>
    </cfRule>
  </conditionalFormatting>
  <conditionalFormatting sqref="A48:B49">
    <cfRule type="expression" dxfId="63" priority="15">
      <formula>$A$47="Verkoopprijzen voor break-even"</formula>
    </cfRule>
  </conditionalFormatting>
  <conditionalFormatting sqref="A21:C21">
    <cfRule type="expression" dxfId="62" priority="5">
      <formula>$B$7="Per ha"</formula>
    </cfRule>
  </conditionalFormatting>
  <conditionalFormatting sqref="A25:C25">
    <cfRule type="expression" dxfId="61" priority="25">
      <formula>$A$25=""</formula>
    </cfRule>
  </conditionalFormatting>
  <conditionalFormatting sqref="A25:C27">
    <cfRule type="expression" dxfId="60" priority="7">
      <formula>$B$5="Gehele plant silage"</formula>
    </cfRule>
  </conditionalFormatting>
  <conditionalFormatting sqref="A26:C26">
    <cfRule type="expression" dxfId="59" priority="24">
      <formula>$A$26=""</formula>
    </cfRule>
  </conditionalFormatting>
  <conditionalFormatting sqref="A27:C27">
    <cfRule type="expression" dxfId="58" priority="23">
      <formula>$A$27=""</formula>
    </cfRule>
  </conditionalFormatting>
  <conditionalFormatting sqref="A29:C29 A31:C31">
    <cfRule type="expression" dxfId="57" priority="4">
      <formula>$B$7="Per ha"</formula>
    </cfRule>
  </conditionalFormatting>
  <conditionalFormatting sqref="A37:C37">
    <cfRule type="expression" dxfId="56" priority="22">
      <formula>$A$37=""</formula>
    </cfRule>
  </conditionalFormatting>
  <conditionalFormatting sqref="A38:C38">
    <cfRule type="expression" dxfId="55" priority="21">
      <formula>$A$38=""</formula>
    </cfRule>
  </conditionalFormatting>
  <conditionalFormatting sqref="A40:C40 A42:C42">
    <cfRule type="expression" dxfId="54" priority="3">
      <formula>$B$7="Per ha"</formula>
    </cfRule>
  </conditionalFormatting>
  <conditionalFormatting sqref="A48:C49">
    <cfRule type="expression" dxfId="53" priority="1">
      <formula>$B$5="Gehele plant silage"</formula>
    </cfRule>
    <cfRule type="expression" dxfId="52" priority="2">
      <formula>$A$25=""</formula>
    </cfRule>
  </conditionalFormatting>
  <conditionalFormatting sqref="B8">
    <cfRule type="expression" dxfId="51" priority="54">
      <formula>$B$7="Over volledig areaal veldbonen"</formula>
    </cfRule>
  </conditionalFormatting>
  <conditionalFormatting sqref="C25">
    <cfRule type="expression" dxfId="50" priority="48">
      <formula>$A$25="Triage (€)"</formula>
    </cfRule>
  </conditionalFormatting>
  <conditionalFormatting sqref="C26">
    <cfRule type="expression" dxfId="49" priority="47">
      <formula>$A$26="Toasten (€)"</formula>
    </cfRule>
  </conditionalFormatting>
  <conditionalFormatting sqref="C27">
    <cfRule type="expression" dxfId="48" priority="46">
      <formula>$A$27="Pletten/malen (€)"</formula>
    </cfRule>
  </conditionalFormatting>
  <conditionalFormatting sqref="C37">
    <cfRule type="expression" dxfId="47" priority="53">
      <formula>$A$37="Opbrengst granen (ton)"</formula>
    </cfRule>
  </conditionalFormatting>
  <conditionalFormatting sqref="C38">
    <cfRule type="expression" dxfId="46" priority="51">
      <formula>$A$38="Verkoopprijs granen (€/ton)"</formula>
    </cfRule>
    <cfRule type="expression" priority="52">
      <formula>$A$38="Verkoopprijs granen (€/ton)"</formula>
    </cfRule>
  </conditionalFormatting>
  <conditionalFormatting sqref="C48">
    <cfRule type="expression" dxfId="45" priority="20">
      <formula>$A$47="Verkoopprijzen voor break-even"</formula>
    </cfRule>
  </conditionalFormatting>
  <conditionalFormatting sqref="C48:C49">
    <cfRule type="expression" dxfId="44" priority="16">
      <formula>$A$47="Verkoopprijs voor break-even (€/ton)"</formula>
    </cfRule>
  </conditionalFormatting>
  <conditionalFormatting sqref="C49">
    <cfRule type="expression" dxfId="43" priority="14">
      <formula>$A$47="Verkoopprijzen voor break-even"</formula>
    </cfRule>
  </conditionalFormatting>
  <conditionalFormatting sqref="D25:D27">
    <cfRule type="expression" dxfId="42" priority="6">
      <formula>$B$5="Gehele plant silage"</formula>
    </cfRule>
  </conditionalFormatting>
  <dataValidations count="2">
    <dataValidation type="list" allowBlank="1" showInputMessage="1" showErrorMessage="1" sqref="B6" xr:uid="{FB6A3F71-988F-4D10-8932-6414F3F23D8E}">
      <formula1>INDIRECT($B$5)</formula1>
    </dataValidation>
    <dataValidation allowBlank="1" showInputMessage="1" showErrorMessage="1" prompt="Geef voor één van de twee eindproducten een richtprijs. Op basis hiervan wordt voor het andere product een minimale verkoopprijs berekend, waarbij geen verlies meer gemaakt wordt." sqref="C48" xr:uid="{AF7DC1C6-9F4A-47C9-B777-5C2359B21CFC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ies &quot;Per ha&quot; als u de kosten en opbrengst kent per ha waarop veldbonen worden geteeld. Of kies &quot;Over volledig areaal&quot; indien u deze enkel kent per perceel, van een nog in te vullen aantal ha." xr:uid="{4732DF22-772C-49A9-AE6B-BCCEA8CD6AAC}">
          <x14:formula1>
            <xm:f>'Tabellen voor keuzelijsten'!$A$2:$A$3</xm:f>
          </x14:formula1>
          <xm:sqref>B7</xm:sqref>
        </x14:dataValidation>
        <x14:dataValidation type="list" allowBlank="1" showInputMessage="1" showErrorMessage="1" xr:uid="{FEAB205B-B3B4-42DF-8EF3-80D704D5F0E5}">
          <x14:formula1>
            <xm:f>'Tabellen voor keuzelijsten'!$C$2:$C$4</xm:f>
          </x14:formula1>
          <xm:sqref>B5</xm:sqref>
        </x14:dataValidation>
        <x14:dataValidation type="list" allowBlank="1" showInputMessage="1" showErrorMessage="1" xr:uid="{1F7E82E6-07F9-4713-A4D4-ED72DDD197E6}">
          <x14:formula1>
            <xm:f>'Tabellen voor keuzelijsten'!$S$2:$S$3</xm:f>
          </x14:formula1>
          <xm:sqref>A48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CE84-976F-4440-9EA2-8DDB37C21B3F}">
  <dimension ref="A1:AA242"/>
  <sheetViews>
    <sheetView zoomScale="55" zoomScaleNormal="55" workbookViewId="0">
      <selection activeCell="B5" sqref="B5"/>
    </sheetView>
  </sheetViews>
  <sheetFormatPr defaultRowHeight="14.4" x14ac:dyDescent="0.3"/>
  <cols>
    <col min="1" max="1" width="43.44140625" customWidth="1"/>
    <col min="2" max="2" width="21.44140625" customWidth="1"/>
    <col min="4" max="4" width="35.44140625" customWidth="1"/>
    <col min="9" max="9" width="10.5546875" bestFit="1" customWidth="1"/>
    <col min="10" max="10" width="10.44140625" bestFit="1" customWidth="1"/>
    <col min="11" max="11" width="10.109375" bestFit="1" customWidth="1"/>
  </cols>
  <sheetData>
    <row r="1" spans="1:27" ht="19.8" x14ac:dyDescent="0.4">
      <c r="A1" s="88" t="s">
        <v>41</v>
      </c>
      <c r="B1" s="89"/>
      <c r="C1" s="89"/>
      <c r="D1" s="90"/>
      <c r="E1" s="53"/>
      <c r="F1" s="53"/>
      <c r="G1" s="53" t="s">
        <v>94</v>
      </c>
      <c r="H1" s="53" t="s">
        <v>64</v>
      </c>
      <c r="I1" s="53" t="s">
        <v>103</v>
      </c>
      <c r="J1" s="53"/>
      <c r="K1" s="53"/>
      <c r="L1" s="53"/>
      <c r="M1" s="53"/>
      <c r="N1" s="53"/>
      <c r="O1" s="53"/>
      <c r="P1" s="53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x14ac:dyDescent="0.3">
      <c r="A2" s="148"/>
      <c r="B2" s="149"/>
      <c r="C2" s="149"/>
      <c r="D2" s="150"/>
      <c r="E2" s="53"/>
      <c r="F2" s="53" t="s">
        <v>96</v>
      </c>
      <c r="G2" s="54">
        <f>B11</f>
        <v>300</v>
      </c>
      <c r="H2" s="54"/>
      <c r="I2" s="54"/>
      <c r="J2" s="53"/>
      <c r="K2" s="53"/>
      <c r="L2" s="53"/>
      <c r="M2" s="53"/>
      <c r="N2" s="53"/>
      <c r="O2" s="53"/>
      <c r="P2" s="5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45" customHeight="1" x14ac:dyDescent="0.3">
      <c r="A3" s="145" t="s">
        <v>74</v>
      </c>
      <c r="B3" s="146"/>
      <c r="C3" s="146"/>
      <c r="D3" s="147"/>
      <c r="E3" s="53"/>
      <c r="F3" s="53" t="s">
        <v>51</v>
      </c>
      <c r="G3" s="54">
        <f>B12</f>
        <v>10</v>
      </c>
      <c r="H3" s="54"/>
      <c r="I3" s="54"/>
      <c r="J3" s="53"/>
      <c r="K3" s="53"/>
      <c r="L3" s="53"/>
      <c r="M3" s="53"/>
      <c r="N3" s="53"/>
      <c r="O3" s="53"/>
      <c r="P3" s="5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x14ac:dyDescent="0.3">
      <c r="A4" s="151"/>
      <c r="B4" s="152"/>
      <c r="C4" s="152"/>
      <c r="D4" s="153"/>
      <c r="E4" s="53"/>
      <c r="F4" s="53" t="s">
        <v>97</v>
      </c>
      <c r="G4" s="54">
        <f>IF(A13="Triage",B13,"")</f>
        <v>55</v>
      </c>
      <c r="H4" s="54"/>
      <c r="I4" s="54"/>
      <c r="J4" s="53"/>
      <c r="K4" s="53"/>
      <c r="L4" s="53"/>
      <c r="M4" s="53"/>
      <c r="N4" s="53"/>
      <c r="O4" s="53"/>
      <c r="P4" s="5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x14ac:dyDescent="0.3">
      <c r="A5" s="49" t="s">
        <v>120</v>
      </c>
      <c r="B5" s="74" t="s">
        <v>121</v>
      </c>
      <c r="C5" s="50"/>
      <c r="D5" s="80"/>
      <c r="E5" s="53"/>
      <c r="F5" s="53"/>
      <c r="G5" s="54"/>
      <c r="H5" s="54"/>
      <c r="I5" s="54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x14ac:dyDescent="0.3">
      <c r="A6" s="5" t="s">
        <v>45</v>
      </c>
      <c r="B6" s="74" t="s">
        <v>1</v>
      </c>
      <c r="C6" s="11"/>
      <c r="D6" s="80"/>
      <c r="E6" s="53"/>
      <c r="F6" s="53" t="s">
        <v>12</v>
      </c>
      <c r="G6" s="54">
        <f>IF(A14="Toasten",B14,"")</f>
        <v>75</v>
      </c>
      <c r="H6" s="54"/>
      <c r="I6" s="54"/>
      <c r="J6" s="53"/>
      <c r="K6" s="53"/>
      <c r="L6" s="53"/>
      <c r="M6" s="53"/>
      <c r="N6" s="53"/>
      <c r="O6" s="53"/>
      <c r="P6" s="53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x14ac:dyDescent="0.3">
      <c r="A7" s="5" t="s">
        <v>75</v>
      </c>
      <c r="B7" s="74" t="s">
        <v>25</v>
      </c>
      <c r="C7" s="11"/>
      <c r="D7" s="80"/>
      <c r="E7" s="53"/>
      <c r="F7" s="53" t="s">
        <v>98</v>
      </c>
      <c r="G7" s="54">
        <f>IF(A15="Pletten/malen",B15,"")</f>
        <v>30</v>
      </c>
      <c r="H7" s="54"/>
      <c r="I7" s="54"/>
      <c r="J7" s="53"/>
      <c r="K7" s="53"/>
      <c r="L7" s="53"/>
      <c r="M7" s="53"/>
      <c r="N7" s="53"/>
      <c r="O7" s="53"/>
      <c r="P7" s="53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x14ac:dyDescent="0.3">
      <c r="A8" s="5" t="s">
        <v>44</v>
      </c>
      <c r="B8" s="74">
        <v>5</v>
      </c>
      <c r="C8" s="11" t="s">
        <v>46</v>
      </c>
      <c r="D8" s="80"/>
      <c r="E8" s="53"/>
      <c r="F8" s="53" t="s">
        <v>60</v>
      </c>
      <c r="G8" s="54"/>
      <c r="H8" s="54">
        <f>B21*(B22*B24)/B8</f>
        <v>189.72</v>
      </c>
      <c r="I8" s="54"/>
      <c r="J8" s="53"/>
      <c r="K8" s="53"/>
      <c r="L8" s="53"/>
      <c r="M8" s="53"/>
      <c r="N8" s="53"/>
      <c r="O8" s="53"/>
      <c r="P8" s="53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x14ac:dyDescent="0.3">
      <c r="A9" s="110"/>
      <c r="B9" s="111"/>
      <c r="C9" s="111"/>
      <c r="D9" s="154"/>
      <c r="E9" s="53"/>
      <c r="F9" s="53" t="s">
        <v>62</v>
      </c>
      <c r="G9" s="54"/>
      <c r="H9" s="54">
        <f>B21*(B23*B25)/B8</f>
        <v>194.39159999999998</v>
      </c>
      <c r="I9" s="54"/>
      <c r="J9" s="53"/>
      <c r="K9" s="53"/>
      <c r="L9" s="53"/>
      <c r="M9" s="53"/>
      <c r="N9" s="53"/>
      <c r="O9" s="53"/>
      <c r="P9" s="53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x14ac:dyDescent="0.3">
      <c r="A10" s="115" t="s">
        <v>42</v>
      </c>
      <c r="B10" s="142"/>
      <c r="C10" s="142"/>
      <c r="D10" s="34" t="s">
        <v>105</v>
      </c>
      <c r="E10" s="53"/>
      <c r="F10" s="53" t="s">
        <v>104</v>
      </c>
      <c r="G10" s="54"/>
      <c r="H10" s="54"/>
      <c r="I10" s="54">
        <f>SUM(H8:H9)-SUM(G2:G7)</f>
        <v>-85.888400000000047</v>
      </c>
      <c r="J10" s="53"/>
      <c r="K10" s="53"/>
      <c r="L10" s="53"/>
      <c r="M10" s="53"/>
      <c r="N10" s="53"/>
      <c r="O10" s="53"/>
      <c r="P10" s="53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x14ac:dyDescent="0.3">
      <c r="A11" s="2" t="s">
        <v>48</v>
      </c>
      <c r="B11" s="74">
        <v>300</v>
      </c>
      <c r="C11" s="74" t="s">
        <v>50</v>
      </c>
      <c r="D11" s="36" t="s">
        <v>118</v>
      </c>
      <c r="E11" s="53">
        <f>IF(C11="€",B11,B11*B8)</f>
        <v>1500</v>
      </c>
      <c r="F11" s="53">
        <f>IF(C11="€/ton",B11,B11/B8)</f>
        <v>300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x14ac:dyDescent="0.3">
      <c r="A12" s="2" t="s">
        <v>51</v>
      </c>
      <c r="B12" s="74">
        <v>10</v>
      </c>
      <c r="C12" s="74" t="s">
        <v>50</v>
      </c>
      <c r="D12" s="36" t="s">
        <v>127</v>
      </c>
      <c r="E12" s="53">
        <f>IF(C12="€",B12,B12*B8)</f>
        <v>50</v>
      </c>
      <c r="F12" s="53">
        <f>IF(C12="€/ton",B12,B12/B8)</f>
        <v>10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x14ac:dyDescent="0.3">
      <c r="A13" s="2" t="str">
        <f>IF(OR(B7="Geen",B7="Malen",B7="Pletten",B7="Toasten",B7="Toasten &amp; malen",B7="Toasten &amp; pletten"),"","Triage")</f>
        <v>Triage</v>
      </c>
      <c r="B13" s="74">
        <v>55</v>
      </c>
      <c r="C13" s="74" t="s">
        <v>50</v>
      </c>
      <c r="D13" s="36" t="str">
        <f>IF(A13="","","50 €/ton")</f>
        <v>50 €/ton</v>
      </c>
      <c r="E13" s="53">
        <f>IF(A13="",0,IF(C13="€",B13,B13*B8))</f>
        <v>275</v>
      </c>
      <c r="F13" s="53">
        <f>IF(A13="",0,IF(C13="€/ton",B13,B13/B8))</f>
        <v>55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x14ac:dyDescent="0.3">
      <c r="A14" s="2" t="str">
        <f>IF(OR(B7="Geen",B7="Malen",B7="Pletten",B7="Triëren/scheiden",B7="Triëren &amp; malen",B7="Triëren &amp; pletten"),"","Toasten")</f>
        <v>Toasten</v>
      </c>
      <c r="B14" s="74">
        <v>75</v>
      </c>
      <c r="C14" s="74" t="s">
        <v>50</v>
      </c>
      <c r="D14" s="48" t="s">
        <v>111</v>
      </c>
      <c r="E14" s="53">
        <f>IF(A14="",0,IF(C14="€",B14,B14*B8))</f>
        <v>375</v>
      </c>
      <c r="F14" s="53">
        <f>IF(A14="",0,IF(C14="€/ton",B14,B14/B8))</f>
        <v>75</v>
      </c>
      <c r="G14" s="53" t="s">
        <v>76</v>
      </c>
      <c r="H14" s="53"/>
      <c r="I14" s="53"/>
      <c r="J14" s="53"/>
      <c r="K14" s="53"/>
      <c r="L14" s="53"/>
      <c r="M14" s="53"/>
      <c r="N14" s="53"/>
      <c r="O14" s="53"/>
      <c r="P14" s="53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x14ac:dyDescent="0.3">
      <c r="A15" s="2" t="str">
        <f>IF(OR(B7="Geen",B7="Toasten",B7="Triëren/scheiden",B7="Toasten &amp; triëren"),"","Pletten/malen")</f>
        <v>Pletten/malen</v>
      </c>
      <c r="B15" s="74">
        <v>30</v>
      </c>
      <c r="C15" s="74" t="s">
        <v>50</v>
      </c>
      <c r="D15" s="36" t="s">
        <v>116</v>
      </c>
      <c r="E15" s="53">
        <f>IF(A15="",0,IF(C15="€",B15,B15*B8))</f>
        <v>150</v>
      </c>
      <c r="F15" s="53">
        <f>IF(A15="",0,IF(C15="€/ton",B15,B15/B8))</f>
        <v>30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x14ac:dyDescent="0.3">
      <c r="A16" s="12" t="s">
        <v>52</v>
      </c>
      <c r="B16" s="3">
        <f>SUM(E11:E15)</f>
        <v>2350</v>
      </c>
      <c r="C16" s="3" t="s">
        <v>49</v>
      </c>
      <c r="D16" s="3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x14ac:dyDescent="0.3">
      <c r="A17" s="140">
        <f>SUM(F11:F15)</f>
        <v>470</v>
      </c>
      <c r="B17" s="141"/>
      <c r="C17" s="40" t="s">
        <v>50</v>
      </c>
      <c r="D17" s="3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x14ac:dyDescent="0.3">
      <c r="A18" s="52"/>
      <c r="B18" s="52"/>
      <c r="C18" s="52"/>
      <c r="D18" s="3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x14ac:dyDescent="0.3">
      <c r="A19" s="143" t="s">
        <v>43</v>
      </c>
      <c r="B19" s="144"/>
      <c r="C19" s="144"/>
      <c r="D19" s="4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x14ac:dyDescent="0.3">
      <c r="A20" s="75" t="s">
        <v>53</v>
      </c>
      <c r="B20" s="58">
        <v>15</v>
      </c>
      <c r="C20" s="19" t="str">
        <f>IF(A20="Vochtgehalte", "%", "g/kg")</f>
        <v>%</v>
      </c>
      <c r="D20" s="3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x14ac:dyDescent="0.3">
      <c r="A21" s="15" t="s">
        <v>56</v>
      </c>
      <c r="B21" s="16">
        <f>IF(A20="DS",(B20*B8)/1000,B8*(1-(B20/100)))</f>
        <v>4.25</v>
      </c>
      <c r="C21" s="16" t="s">
        <v>46</v>
      </c>
      <c r="D21" s="3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3">
      <c r="A22" s="17" t="str">
        <f>IF(B5="Melkvee","VEM","VEVI")</f>
        <v>VEM</v>
      </c>
      <c r="B22" s="58">
        <v>1116</v>
      </c>
      <c r="C22" s="19" t="s">
        <v>58</v>
      </c>
      <c r="D22" s="36" t="s">
        <v>130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x14ac:dyDescent="0.3">
      <c r="A23" s="15" t="s">
        <v>59</v>
      </c>
      <c r="B23" s="76">
        <v>156</v>
      </c>
      <c r="C23" s="16" t="s">
        <v>58</v>
      </c>
      <c r="D23" s="36" t="s">
        <v>131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x14ac:dyDescent="0.3">
      <c r="A24" s="17" t="s">
        <v>60</v>
      </c>
      <c r="B24" s="58">
        <v>0.2</v>
      </c>
      <c r="C24" s="19" t="str">
        <f>IF(B5="Melkvee","€/kVEM","€/kVEVI")</f>
        <v>€/kVEM</v>
      </c>
      <c r="D24" s="36" t="s">
        <v>123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x14ac:dyDescent="0.3">
      <c r="A25" s="15" t="s">
        <v>62</v>
      </c>
      <c r="B25" s="76">
        <v>1.466</v>
      </c>
      <c r="C25" s="16" t="s">
        <v>63</v>
      </c>
      <c r="D25" s="36" t="s">
        <v>124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3">
      <c r="A26" s="18" t="s">
        <v>64</v>
      </c>
      <c r="B26" s="19">
        <f>B21*(B22*B24+B23*B25)</f>
        <v>1920.558</v>
      </c>
      <c r="C26" s="19" t="s">
        <v>49</v>
      </c>
      <c r="D26" s="3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3">
      <c r="A27" s="21"/>
      <c r="B27" s="6">
        <f>B26/B8</f>
        <v>384.11160000000001</v>
      </c>
      <c r="C27" s="6" t="s">
        <v>50</v>
      </c>
      <c r="D27" s="3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3">
      <c r="A28" s="20" t="s">
        <v>43</v>
      </c>
      <c r="B28" s="4">
        <f>B26-B16</f>
        <v>-429.44200000000001</v>
      </c>
      <c r="C28" s="4" t="s">
        <v>49</v>
      </c>
      <c r="D28" s="3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3">
      <c r="A29" s="139">
        <f>B27-A17</f>
        <v>-85.88839999999999</v>
      </c>
      <c r="B29" s="136"/>
      <c r="C29" t="s">
        <v>50</v>
      </c>
      <c r="D29" s="3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3">
      <c r="A30" s="29" t="s">
        <v>106</v>
      </c>
      <c r="B30" s="31">
        <f>100*(A17/B27)</f>
        <v>122.36027237917313</v>
      </c>
      <c r="C30" s="16" t="s">
        <v>107</v>
      </c>
      <c r="D30" s="3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3">
      <c r="A31" s="52"/>
      <c r="B31" s="52"/>
      <c r="C31" s="52"/>
      <c r="D31" s="3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3">
      <c r="A32" s="137" t="s">
        <v>70</v>
      </c>
      <c r="B32" s="138"/>
      <c r="C32" s="138"/>
      <c r="D32" s="4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3">
      <c r="A33" s="32" t="s">
        <v>109</v>
      </c>
      <c r="B33" s="77">
        <v>1000</v>
      </c>
      <c r="C33" s="30" t="s">
        <v>66</v>
      </c>
      <c r="D33" s="3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3">
      <c r="A34" s="32" t="s">
        <v>65</v>
      </c>
      <c r="B34" s="77">
        <v>0</v>
      </c>
      <c r="C34" s="30" t="s">
        <v>66</v>
      </c>
      <c r="D34" s="3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3">
      <c r="A35" s="22" t="s">
        <v>67</v>
      </c>
      <c r="B35" s="78">
        <v>0</v>
      </c>
      <c r="C35" s="41" t="s">
        <v>66</v>
      </c>
      <c r="D35" s="3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3">
      <c r="A36" s="32" t="s">
        <v>108</v>
      </c>
      <c r="B36" s="77">
        <v>360</v>
      </c>
      <c r="C36" s="30" t="s">
        <v>50</v>
      </c>
      <c r="D36" s="36">
        <v>360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3">
      <c r="A37" s="21" t="s">
        <v>69</v>
      </c>
      <c r="B37" s="59">
        <v>540</v>
      </c>
      <c r="C37" s="6" t="s">
        <v>50</v>
      </c>
      <c r="D37" s="33">
        <v>540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3">
      <c r="A38" s="21" t="s">
        <v>68</v>
      </c>
      <c r="B38" s="59">
        <v>330</v>
      </c>
      <c r="C38" s="6" t="s">
        <v>50</v>
      </c>
      <c r="D38" s="33">
        <v>330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3">
      <c r="A39" s="17" t="s">
        <v>110</v>
      </c>
      <c r="B39" s="19">
        <f>(B38*B35/(B35+B34+B33)+B37*B34/(B34+B35+B33)+(B36*B33/(B34+B35+B33)))</f>
        <v>360</v>
      </c>
      <c r="C39" s="19" t="s">
        <v>50</v>
      </c>
      <c r="D39" s="3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3">
      <c r="A40" s="15" t="s">
        <v>72</v>
      </c>
      <c r="B40" s="16">
        <f>((B34/1000)*B37)+((B35/1000)*B38)+((B33/1000)*B36)</f>
        <v>360</v>
      </c>
      <c r="C40" s="16" t="s">
        <v>49</v>
      </c>
      <c r="D40" s="3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3">
      <c r="A41" s="25" t="s">
        <v>71</v>
      </c>
      <c r="B41">
        <f>B40-A17</f>
        <v>-110</v>
      </c>
      <c r="C41" t="s">
        <v>50</v>
      </c>
      <c r="D41" s="3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3">
      <c r="A42" s="23" t="s">
        <v>77</v>
      </c>
      <c r="B42" s="24">
        <f>B41*B8</f>
        <v>-550</v>
      </c>
      <c r="C42" s="24" t="s">
        <v>49</v>
      </c>
      <c r="D42" s="3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7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x14ac:dyDescent="0.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x14ac:dyDescent="0.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x14ac:dyDescent="0.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x14ac:dyDescent="0.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x14ac:dyDescent="0.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x14ac:dyDescent="0.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x14ac:dyDescent="0.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x14ac:dyDescent="0.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x14ac:dyDescent="0.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x14ac:dyDescent="0.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x14ac:dyDescent="0.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x14ac:dyDescent="0.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x14ac:dyDescent="0.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x14ac:dyDescent="0.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x14ac:dyDescent="0.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x14ac:dyDescent="0.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x14ac:dyDescent="0.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x14ac:dyDescent="0.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x14ac:dyDescent="0.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x14ac:dyDescent="0.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x14ac:dyDescent="0.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x14ac:dyDescent="0.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x14ac:dyDescent="0.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x14ac:dyDescent="0.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x14ac:dyDescent="0.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x14ac:dyDescent="0.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x14ac:dyDescent="0.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x14ac:dyDescent="0.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x14ac:dyDescent="0.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x14ac:dyDescent="0.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x14ac:dyDescent="0.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x14ac:dyDescent="0.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x14ac:dyDescent="0.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x14ac:dyDescent="0.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x14ac:dyDescent="0.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x14ac:dyDescent="0.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x14ac:dyDescent="0.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x14ac:dyDescent="0.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x14ac:dyDescent="0.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x14ac:dyDescent="0.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x14ac:dyDescent="0.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x14ac:dyDescent="0.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x14ac:dyDescent="0.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x14ac:dyDescent="0.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x14ac:dyDescent="0.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x14ac:dyDescent="0.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x14ac:dyDescent="0.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x14ac:dyDescent="0.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x14ac:dyDescent="0.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x14ac:dyDescent="0.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x14ac:dyDescent="0.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x14ac:dyDescent="0.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x14ac:dyDescent="0.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x14ac:dyDescent="0.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x14ac:dyDescent="0.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1:27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7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27" x14ac:dyDescent="0.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1:27" x14ac:dyDescent="0.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1:27" x14ac:dyDescent="0.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1:27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27" x14ac:dyDescent="0.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1:27" x14ac:dyDescent="0.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1:27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1:27" x14ac:dyDescent="0.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1:27" x14ac:dyDescent="0.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1:27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1:27" x14ac:dyDescent="0.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1:27" x14ac:dyDescent="0.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x14ac:dyDescent="0.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1:27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1:27" x14ac:dyDescent="0.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1:27" x14ac:dyDescent="0.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1:27" x14ac:dyDescent="0.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1:27" x14ac:dyDescent="0.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1:27" x14ac:dyDescent="0.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1:27" x14ac:dyDescent="0.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x14ac:dyDescent="0.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7" x14ac:dyDescent="0.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7" x14ac:dyDescent="0.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1:27" x14ac:dyDescent="0.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1:27" x14ac:dyDescent="0.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1:27" x14ac:dyDescent="0.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1:27" x14ac:dyDescent="0.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x14ac:dyDescent="0.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1:27" x14ac:dyDescent="0.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1:27" x14ac:dyDescent="0.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1:27" x14ac:dyDescent="0.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1:27" x14ac:dyDescent="0.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1:27" x14ac:dyDescent="0.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1:27" x14ac:dyDescent="0.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1:27" x14ac:dyDescent="0.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1:27" x14ac:dyDescent="0.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1:27" x14ac:dyDescent="0.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1:27" x14ac:dyDescent="0.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1:27" x14ac:dyDescent="0.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1:27" x14ac:dyDescent="0.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1:27" x14ac:dyDescent="0.3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</sheetData>
  <sheetProtection algorithmName="SHA-512" hashValue="jSoLP5rG/b7T+VVvvrtzng6Nd7mMNOo9sZa2kt7KNP8+/dTBh5Uz1zmdWPfxIDOUneQqEIx8Ze7yN4KDws65Ug==" saltValue="N7BYwbKZMgayYs9mpqDgYg==" spinCount="100000" sheet="1" objects="1" scenarios="1" selectLockedCells="1"/>
  <mergeCells count="10">
    <mergeCell ref="A10:C10"/>
    <mergeCell ref="A19:C19"/>
    <mergeCell ref="A3:D3"/>
    <mergeCell ref="A1:D1"/>
    <mergeCell ref="A2:D2"/>
    <mergeCell ref="A4:D4"/>
    <mergeCell ref="A9:D9"/>
    <mergeCell ref="A29:B29"/>
    <mergeCell ref="A17:B17"/>
    <mergeCell ref="A32:C32"/>
  </mergeCells>
  <conditionalFormatting sqref="A13">
    <cfRule type="expression" dxfId="41" priority="9">
      <formula>$B$6="Reincultuur"</formula>
    </cfRule>
  </conditionalFormatting>
  <conditionalFormatting sqref="A13:A15">
    <cfRule type="expression" dxfId="40" priority="11">
      <formula>$B$6="Gehele plant silage"</formula>
    </cfRule>
  </conditionalFormatting>
  <conditionalFormatting sqref="A29">
    <cfRule type="expression" dxfId="39" priority="55">
      <formula>$A$29&gt;0</formula>
    </cfRule>
    <cfRule type="expression" dxfId="38" priority="56">
      <formula>$A$29&lt;0</formula>
    </cfRule>
  </conditionalFormatting>
  <conditionalFormatting sqref="A28:C28">
    <cfRule type="expression" dxfId="37" priority="30">
      <formula>$B$28&gt;0</formula>
    </cfRule>
    <cfRule type="expression" dxfId="36" priority="31">
      <formula>$B$28&lt;0</formula>
    </cfRule>
  </conditionalFormatting>
  <conditionalFormatting sqref="A29:C29">
    <cfRule type="expression" dxfId="35" priority="24">
      <formula>$A$29&gt;0</formula>
    </cfRule>
    <cfRule type="expression" dxfId="34" priority="25">
      <formula>$A$29&lt;0</formula>
    </cfRule>
  </conditionalFormatting>
  <conditionalFormatting sqref="A30:C30">
    <cfRule type="expression" dxfId="33" priority="12">
      <formula>$B$30&gt;100</formula>
    </cfRule>
  </conditionalFormatting>
  <conditionalFormatting sqref="A41:C41">
    <cfRule type="expression" dxfId="32" priority="57">
      <formula>#REF!&gt;0</formula>
    </cfRule>
    <cfRule type="expression" dxfId="31" priority="58">
      <formula>#REF!&lt;0</formula>
    </cfRule>
  </conditionalFormatting>
  <conditionalFormatting sqref="A41:C42">
    <cfRule type="expression" dxfId="30" priority="16">
      <formula>$B$41&gt;0</formula>
    </cfRule>
    <cfRule type="expression" dxfId="29" priority="17">
      <formula>$B$41&lt;0</formula>
    </cfRule>
  </conditionalFormatting>
  <conditionalFormatting sqref="B28">
    <cfRule type="cellIs" dxfId="25" priority="47" operator="lessThan">
      <formula>0</formula>
    </cfRule>
    <cfRule type="cellIs" dxfId="24" priority="48" operator="greaterThan">
      <formula>0</formula>
    </cfRule>
  </conditionalFormatting>
  <conditionalFormatting sqref="B41">
    <cfRule type="cellIs" dxfId="23" priority="22" operator="lessThan">
      <formula>0</formula>
    </cfRule>
    <cfRule type="cellIs" dxfId="22" priority="23" operator="greaterThan">
      <formula>0</formula>
    </cfRule>
  </conditionalFormatting>
  <conditionalFormatting sqref="A29">
    <cfRule type="cellIs" dxfId="21" priority="45" operator="lessThan">
      <formula>0</formula>
    </cfRule>
    <cfRule type="cellIs" dxfId="20" priority="46" operator="greaterThan">
      <formula>0</formula>
    </cfRule>
  </conditionalFormatting>
  <conditionalFormatting sqref="B13:C13">
    <cfRule type="expression" dxfId="19" priority="8">
      <formula>$B$6="Reincultuur"</formula>
    </cfRule>
    <cfRule type="expression" dxfId="18" priority="15">
      <formula>$A$13=""</formula>
    </cfRule>
  </conditionalFormatting>
  <conditionalFormatting sqref="B13:C15">
    <cfRule type="expression" dxfId="17" priority="10">
      <formula>$B$6="Gehele plant silage"</formula>
    </cfRule>
  </conditionalFormatting>
  <conditionalFormatting sqref="B14:D14">
    <cfRule type="expression" dxfId="14" priority="13">
      <formula>$A$14=""</formula>
    </cfRule>
  </conditionalFormatting>
  <conditionalFormatting sqref="B15:D15">
    <cfRule type="expression" dxfId="13" priority="14">
      <formula>$A$15=""</formula>
    </cfRule>
  </conditionalFormatting>
  <conditionalFormatting sqref="C28">
    <cfRule type="cellIs" dxfId="12" priority="38" operator="greaterThan">
      <formula>$B$28&lt;0</formula>
    </cfRule>
    <cfRule type="cellIs" dxfId="11" priority="39" operator="lessThan">
      <formula>$B$28&lt;0</formula>
    </cfRule>
    <cfRule type="cellIs" dxfId="10" priority="40" operator="greaterThan">
      <formula>$B$28&gt;0</formula>
    </cfRule>
  </conditionalFormatting>
  <conditionalFormatting sqref="D13">
    <cfRule type="expression" dxfId="9" priority="6">
      <formula>$B$6="Reincultuur"</formula>
    </cfRule>
  </conditionalFormatting>
  <conditionalFormatting sqref="D13:D15">
    <cfRule type="expression" dxfId="8" priority="7">
      <formula>$B$6="Gehele plant silage"</formula>
    </cfRule>
  </conditionalFormatting>
  <conditionalFormatting sqref="D14">
    <cfRule type="expression" dxfId="7" priority="5">
      <formula>$A$14=""</formula>
    </cfRule>
  </conditionalFormatting>
  <conditionalFormatting sqref="D15">
    <cfRule type="expression" dxfId="6" priority="4">
      <formula>$A$15=""</formula>
    </cfRule>
  </conditionalFormatting>
  <dataValidations count="1">
    <dataValidation type="list" allowBlank="1" showInputMessage="1" showErrorMessage="1" sqref="B7" xr:uid="{254BE062-EA9A-4317-A5F3-9F394F00A05E}">
      <formula1>INDIRECT($B$6)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B26C36C-2A3D-4F85-AA6D-BFA37429293D}">
          <x14:formula1>
            <xm:f>'Tabellen voor keuzelijsten'!$C$2:$C$4</xm:f>
          </x14:formula1>
          <xm:sqref>B6</xm:sqref>
        </x14:dataValidation>
        <x14:dataValidation type="list" allowBlank="1" showInputMessage="1" showErrorMessage="1" xr:uid="{02EBAF05-48D6-43A8-BEE0-37A03DE4D4B7}">
          <x14:formula1>
            <xm:f>'Tabellen voor keuzelijsten'!$M$2:$M$3</xm:f>
          </x14:formula1>
          <xm:sqref>C11:C15</xm:sqref>
        </x14:dataValidation>
        <x14:dataValidation type="list" allowBlank="1" showInputMessage="1" showErrorMessage="1" xr:uid="{8A532A94-85D7-45A4-8FF5-2FECD090B44C}">
          <x14:formula1>
            <xm:f>'Tabellen voor keuzelijsten'!$O$2:$O$3</xm:f>
          </x14:formula1>
          <xm:sqref>A20</xm:sqref>
        </x14:dataValidation>
        <x14:dataValidation type="list" allowBlank="1" showInputMessage="1" showErrorMessage="1" xr:uid="{71581F65-A737-43FB-A27B-9E6009E200D9}">
          <x14:formula1>
            <xm:f>'Tabellen voor keuzelijsten'!$U$2:$U$3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E1E7-CE02-4363-95D2-2381A12F6B9E}">
  <dimension ref="A1:AA250"/>
  <sheetViews>
    <sheetView topLeftCell="A6" workbookViewId="0">
      <selection activeCell="B6" sqref="B6"/>
    </sheetView>
  </sheetViews>
  <sheetFormatPr defaultRowHeight="14.4" x14ac:dyDescent="0.3"/>
  <cols>
    <col min="1" max="1" width="34.33203125" customWidth="1"/>
    <col min="2" max="2" width="15.77734375" customWidth="1"/>
    <col min="3" max="3" width="22" customWidth="1"/>
    <col min="4" max="4" width="12.44140625" customWidth="1"/>
    <col min="5" max="13" width="12.21875" customWidth="1"/>
  </cols>
  <sheetData>
    <row r="1" spans="1:27" ht="19.8" x14ac:dyDescent="0.4">
      <c r="A1" s="155" t="s">
        <v>128</v>
      </c>
      <c r="B1" s="156"/>
      <c r="C1" s="156"/>
      <c r="D1" s="157"/>
      <c r="E1" s="53"/>
      <c r="F1" s="53" t="s">
        <v>60</v>
      </c>
      <c r="G1" s="53" t="s">
        <v>62</v>
      </c>
      <c r="H1" s="53" t="s">
        <v>126</v>
      </c>
      <c r="I1" s="53" t="s">
        <v>125</v>
      </c>
      <c r="J1" s="53" t="s">
        <v>101</v>
      </c>
      <c r="K1" s="53"/>
      <c r="L1" s="53"/>
      <c r="M1" s="53"/>
      <c r="N1" s="53"/>
      <c r="O1" s="53"/>
      <c r="P1" s="53"/>
      <c r="Q1" s="53"/>
      <c r="R1" s="53"/>
      <c r="S1" s="52"/>
      <c r="T1" s="52"/>
      <c r="U1" s="52"/>
      <c r="V1" s="52"/>
      <c r="W1" s="52"/>
      <c r="X1" s="52"/>
      <c r="Y1" s="52"/>
      <c r="Z1" s="52"/>
      <c r="AA1" s="52"/>
    </row>
    <row r="2" spans="1:27" x14ac:dyDescent="0.3">
      <c r="A2" s="165"/>
      <c r="B2" s="166"/>
      <c r="C2" s="166"/>
      <c r="D2" s="84"/>
      <c r="E2" s="53" t="s">
        <v>100</v>
      </c>
      <c r="F2" s="54">
        <f>B8*(B9*B11)/B6</f>
        <v>189.72</v>
      </c>
      <c r="G2" s="54">
        <f>B8*(B10*B12)/B6</f>
        <v>148.28590000000003</v>
      </c>
      <c r="H2" s="54"/>
      <c r="I2" s="54"/>
      <c r="J2" s="54"/>
      <c r="K2" s="53"/>
      <c r="L2" s="53"/>
      <c r="M2" s="53"/>
      <c r="N2" s="53"/>
      <c r="O2" s="53"/>
      <c r="P2" s="53"/>
      <c r="Q2" s="53"/>
      <c r="R2" s="53"/>
      <c r="S2" s="52"/>
      <c r="T2" s="52"/>
      <c r="U2" s="52"/>
      <c r="V2" s="52"/>
      <c r="W2" s="52"/>
      <c r="X2" s="52"/>
      <c r="Y2" s="52"/>
      <c r="Z2" s="52"/>
      <c r="AA2" s="52"/>
    </row>
    <row r="3" spans="1:27" x14ac:dyDescent="0.3">
      <c r="A3" s="158" t="s">
        <v>73</v>
      </c>
      <c r="B3" s="159"/>
      <c r="C3" s="159"/>
      <c r="D3" s="160"/>
      <c r="E3" s="53" t="s">
        <v>82</v>
      </c>
      <c r="F3" s="54">
        <f>B8*(B18*B11)/B6</f>
        <v>189.72</v>
      </c>
      <c r="G3" s="54">
        <f>B8*(B19*B12)/B6</f>
        <v>194.39159999999998</v>
      </c>
      <c r="H3" s="54">
        <f>IF(C29="€/ton VS",-B29,-(B29/B6))</f>
        <v>-75</v>
      </c>
      <c r="I3" s="54">
        <v>-10</v>
      </c>
      <c r="J3" s="54"/>
      <c r="K3" s="53"/>
      <c r="L3" s="53"/>
      <c r="M3" s="53"/>
      <c r="N3" s="53"/>
      <c r="O3" s="53"/>
      <c r="P3" s="53"/>
      <c r="Q3" s="53"/>
      <c r="R3" s="53"/>
      <c r="S3" s="52"/>
      <c r="T3" s="52"/>
      <c r="U3" s="52"/>
      <c r="V3" s="52"/>
      <c r="W3" s="52"/>
      <c r="X3" s="52"/>
      <c r="Y3" s="52"/>
      <c r="Z3" s="52"/>
      <c r="AA3" s="52"/>
    </row>
    <row r="4" spans="1:27" x14ac:dyDescent="0.3">
      <c r="A4" s="165"/>
      <c r="B4" s="166"/>
      <c r="C4" s="166"/>
      <c r="D4" s="84"/>
      <c r="E4" s="53" t="s">
        <v>101</v>
      </c>
      <c r="F4" s="54"/>
      <c r="G4" s="54"/>
      <c r="H4" s="54"/>
      <c r="I4" s="54"/>
      <c r="J4" s="54">
        <f>SUM(F3:H3)-SUM(F2:G2)</f>
        <v>-28.894300000000044</v>
      </c>
      <c r="K4" s="53"/>
      <c r="L4" s="53"/>
      <c r="M4" s="53"/>
      <c r="N4" s="53"/>
      <c r="O4" s="53"/>
      <c r="P4" s="53"/>
      <c r="Q4" s="53"/>
      <c r="R4" s="53"/>
      <c r="S4" s="52"/>
      <c r="T4" s="52"/>
      <c r="U4" s="52"/>
      <c r="V4" s="52"/>
      <c r="W4" s="52"/>
      <c r="X4" s="52"/>
      <c r="Y4" s="52"/>
      <c r="Z4" s="52"/>
      <c r="AA4" s="52"/>
    </row>
    <row r="5" spans="1:27" x14ac:dyDescent="0.3">
      <c r="A5" s="137" t="s">
        <v>79</v>
      </c>
      <c r="B5" s="138"/>
      <c r="C5" s="138"/>
      <c r="D5" s="44" t="s">
        <v>105</v>
      </c>
      <c r="E5" s="53"/>
      <c r="F5" s="54"/>
      <c r="G5" s="54"/>
      <c r="H5" s="54"/>
      <c r="I5" s="54"/>
      <c r="J5" s="53"/>
      <c r="K5" s="53"/>
      <c r="L5" s="53"/>
      <c r="M5" s="53"/>
      <c r="N5" s="53"/>
      <c r="O5" s="53"/>
      <c r="P5" s="53"/>
      <c r="Q5" s="53"/>
      <c r="R5" s="53"/>
      <c r="S5" s="52"/>
      <c r="T5" s="52"/>
      <c r="U5" s="52"/>
      <c r="V5" s="52"/>
      <c r="W5" s="52"/>
      <c r="X5" s="52"/>
      <c r="Y5" s="52"/>
      <c r="Z5" s="52"/>
      <c r="AA5" s="52"/>
    </row>
    <row r="6" spans="1:27" x14ac:dyDescent="0.3">
      <c r="A6" s="13" t="s">
        <v>78</v>
      </c>
      <c r="B6" s="74">
        <v>5</v>
      </c>
      <c r="C6" s="14" t="s">
        <v>46</v>
      </c>
      <c r="D6" s="3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2"/>
      <c r="V6" s="52"/>
      <c r="W6" s="52"/>
      <c r="X6" s="52"/>
      <c r="Y6" s="52"/>
      <c r="Z6" s="52"/>
      <c r="AA6" s="52"/>
    </row>
    <row r="7" spans="1:27" x14ac:dyDescent="0.3">
      <c r="A7" s="75" t="s">
        <v>53</v>
      </c>
      <c r="B7" s="58">
        <v>15</v>
      </c>
      <c r="C7" s="19" t="str">
        <f>IF(A7="Vochtgehalte", "%", "g/kg")</f>
        <v>%</v>
      </c>
      <c r="D7" s="3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  <c r="T7" s="52"/>
      <c r="U7" s="52"/>
      <c r="V7" s="52"/>
      <c r="W7" s="52"/>
      <c r="X7" s="52"/>
      <c r="Y7" s="52"/>
      <c r="Z7" s="52"/>
      <c r="AA7" s="52"/>
    </row>
    <row r="8" spans="1:27" x14ac:dyDescent="0.3">
      <c r="A8" s="15" t="s">
        <v>56</v>
      </c>
      <c r="B8" s="16">
        <f>IF(A7="DS",(B7*B6)/1000,B6*(1-(B7/100)))</f>
        <v>4.25</v>
      </c>
      <c r="C8" s="16" t="s">
        <v>46</v>
      </c>
      <c r="D8" s="3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2"/>
      <c r="T8" s="52"/>
      <c r="U8" s="52"/>
      <c r="V8" s="52"/>
      <c r="W8" s="52"/>
      <c r="X8" s="52"/>
      <c r="Y8" s="52"/>
      <c r="Z8" s="52"/>
      <c r="AA8" s="52"/>
    </row>
    <row r="9" spans="1:27" x14ac:dyDescent="0.3">
      <c r="A9" s="17" t="s">
        <v>57</v>
      </c>
      <c r="B9" s="58">
        <v>1116</v>
      </c>
      <c r="C9" s="19" t="s">
        <v>58</v>
      </c>
      <c r="D9" s="46"/>
      <c r="E9" s="55"/>
      <c r="F9" s="53"/>
      <c r="G9" s="55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2"/>
      <c r="T9" s="52"/>
      <c r="U9" s="52"/>
      <c r="V9" s="52"/>
      <c r="W9" s="52"/>
      <c r="X9" s="52"/>
      <c r="Y9" s="52"/>
      <c r="Z9" s="52"/>
      <c r="AA9" s="52"/>
    </row>
    <row r="10" spans="1:27" x14ac:dyDescent="0.3">
      <c r="A10" s="15" t="s">
        <v>59</v>
      </c>
      <c r="B10" s="76">
        <v>119</v>
      </c>
      <c r="C10" s="16" t="s">
        <v>58</v>
      </c>
      <c r="D10" s="36"/>
      <c r="E10" s="55"/>
      <c r="F10" s="53"/>
      <c r="G10" s="53"/>
      <c r="H10" s="55"/>
      <c r="I10" s="55"/>
      <c r="J10" s="53"/>
      <c r="K10" s="53"/>
      <c r="L10" s="53"/>
      <c r="M10" s="53"/>
      <c r="N10" s="53"/>
      <c r="O10" s="53"/>
      <c r="P10" s="53"/>
      <c r="Q10" s="53"/>
      <c r="R10" s="53"/>
      <c r="S10" s="52"/>
      <c r="T10" s="52"/>
      <c r="U10" s="52"/>
      <c r="V10" s="52"/>
      <c r="W10" s="52"/>
      <c r="X10" s="52"/>
      <c r="Y10" s="52"/>
      <c r="Z10" s="52"/>
      <c r="AA10" s="52"/>
    </row>
    <row r="11" spans="1:27" x14ac:dyDescent="0.3">
      <c r="A11" s="17" t="s">
        <v>60</v>
      </c>
      <c r="B11" s="58">
        <v>0.2</v>
      </c>
      <c r="C11" s="19" t="s">
        <v>61</v>
      </c>
      <c r="D11" s="36">
        <v>0.2</v>
      </c>
      <c r="E11" s="55"/>
      <c r="F11" s="53"/>
      <c r="G11" s="53"/>
      <c r="H11" s="55"/>
      <c r="I11" s="55"/>
      <c r="J11" s="53"/>
      <c r="K11" s="53"/>
      <c r="L11" s="53"/>
      <c r="M11" s="53"/>
      <c r="N11" s="53"/>
      <c r="O11" s="53"/>
      <c r="P11" s="53"/>
      <c r="Q11" s="53"/>
      <c r="R11" s="53"/>
      <c r="S11" s="52"/>
      <c r="T11" s="52"/>
      <c r="U11" s="52"/>
      <c r="V11" s="52"/>
      <c r="W11" s="52"/>
      <c r="X11" s="52"/>
      <c r="Y11" s="52"/>
      <c r="Z11" s="52"/>
      <c r="AA11" s="52"/>
    </row>
    <row r="12" spans="1:27" x14ac:dyDescent="0.3">
      <c r="A12" s="15" t="s">
        <v>62</v>
      </c>
      <c r="B12" s="76">
        <v>1.466</v>
      </c>
      <c r="C12" s="16" t="s">
        <v>63</v>
      </c>
      <c r="D12" s="36">
        <v>1.466</v>
      </c>
      <c r="E12" s="55"/>
      <c r="F12" s="53"/>
      <c r="G12" s="53"/>
      <c r="H12" s="55"/>
      <c r="I12" s="55"/>
      <c r="J12" s="53"/>
      <c r="K12" s="53"/>
      <c r="L12" s="53"/>
      <c r="M12" s="53"/>
      <c r="N12" s="53"/>
      <c r="O12" s="53"/>
      <c r="P12" s="53"/>
      <c r="Q12" s="53"/>
      <c r="R12" s="53"/>
      <c r="S12" s="52"/>
      <c r="T12" s="52"/>
      <c r="U12" s="52"/>
      <c r="V12" s="52"/>
      <c r="W12" s="52"/>
      <c r="X12" s="52"/>
      <c r="Y12" s="52"/>
      <c r="Z12" s="52"/>
      <c r="AA12" s="52"/>
    </row>
    <row r="13" spans="1:27" x14ac:dyDescent="0.3">
      <c r="A13" s="18" t="s">
        <v>83</v>
      </c>
      <c r="B13" s="19">
        <f>B8*(B9*B11+B10*B12)</f>
        <v>1690.0295000000001</v>
      </c>
      <c r="C13" s="19" t="s">
        <v>49</v>
      </c>
      <c r="D13" s="36"/>
      <c r="E13" s="53"/>
      <c r="F13" s="53"/>
      <c r="G13" s="53"/>
      <c r="H13" s="55"/>
      <c r="I13" s="55"/>
      <c r="J13" s="53"/>
      <c r="K13" s="53"/>
      <c r="L13" s="53"/>
      <c r="M13" s="53"/>
      <c r="N13" s="53"/>
      <c r="O13" s="53"/>
      <c r="P13" s="53"/>
      <c r="Q13" s="53"/>
      <c r="R13" s="53"/>
      <c r="S13" s="52"/>
      <c r="T13" s="52"/>
      <c r="U13" s="52"/>
      <c r="V13" s="52"/>
      <c r="W13" s="52"/>
      <c r="X13" s="52"/>
      <c r="Y13" s="52"/>
      <c r="Z13" s="52"/>
      <c r="AA13" s="52"/>
    </row>
    <row r="14" spans="1:27" x14ac:dyDescent="0.3">
      <c r="A14" s="15"/>
      <c r="B14" s="16">
        <f>B13/B6</f>
        <v>338.0059</v>
      </c>
      <c r="C14" s="16" t="s">
        <v>80</v>
      </c>
      <c r="D14" s="3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  <c r="T14" s="52"/>
      <c r="U14" s="52"/>
      <c r="V14" s="52"/>
      <c r="W14" s="52"/>
      <c r="X14" s="52"/>
      <c r="Y14" s="52"/>
      <c r="Z14" s="52"/>
      <c r="AA14" s="52"/>
    </row>
    <row r="15" spans="1:27" x14ac:dyDescent="0.3">
      <c r="A15" s="167"/>
      <c r="B15" s="167"/>
      <c r="C15" s="167"/>
      <c r="D15" s="3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2"/>
      <c r="T15" s="52"/>
      <c r="U15" s="52"/>
      <c r="V15" s="52"/>
      <c r="W15" s="52"/>
      <c r="X15" s="52"/>
      <c r="Y15" s="52"/>
      <c r="Z15" s="52"/>
      <c r="AA15" s="52"/>
    </row>
    <row r="16" spans="1:27" x14ac:dyDescent="0.3">
      <c r="A16" s="137" t="s">
        <v>81</v>
      </c>
      <c r="B16" s="138"/>
      <c r="C16" s="138"/>
      <c r="D16" s="3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2"/>
      <c r="T16" s="52"/>
      <c r="U16" s="52"/>
      <c r="V16" s="52"/>
      <c r="W16" s="52"/>
      <c r="X16" s="52"/>
      <c r="Y16" s="52"/>
      <c r="Z16" s="52"/>
      <c r="AA16" s="52"/>
    </row>
    <row r="17" spans="1:27" x14ac:dyDescent="0.3">
      <c r="A17" s="79" t="s">
        <v>53</v>
      </c>
      <c r="B17" s="74">
        <v>9</v>
      </c>
      <c r="C17" s="14" t="str">
        <f>IF(A17="Vochtgehalte", "%", "g/kg")</f>
        <v>%</v>
      </c>
      <c r="D17" s="3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2"/>
      <c r="T17" s="52"/>
      <c r="U17" s="52"/>
      <c r="V17" s="52"/>
      <c r="W17" s="52"/>
      <c r="X17" s="52"/>
      <c r="Y17" s="52"/>
      <c r="Z17" s="52"/>
      <c r="AA17" s="52"/>
    </row>
    <row r="18" spans="1:27" x14ac:dyDescent="0.3">
      <c r="A18" s="17" t="s">
        <v>57</v>
      </c>
      <c r="B18" s="58">
        <v>1116</v>
      </c>
      <c r="C18" s="19" t="s">
        <v>58</v>
      </c>
      <c r="D18" s="3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2"/>
      <c r="T18" s="52"/>
      <c r="U18" s="52"/>
      <c r="V18" s="52"/>
      <c r="W18" s="52"/>
      <c r="X18" s="52"/>
      <c r="Y18" s="52"/>
      <c r="Z18" s="52"/>
      <c r="AA18" s="52"/>
    </row>
    <row r="19" spans="1:27" x14ac:dyDescent="0.3">
      <c r="A19" s="15" t="s">
        <v>59</v>
      </c>
      <c r="B19" s="76">
        <v>156</v>
      </c>
      <c r="C19" s="16" t="s">
        <v>58</v>
      </c>
      <c r="D19" s="3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2"/>
      <c r="T19" s="52"/>
      <c r="U19" s="52"/>
      <c r="V19" s="52"/>
      <c r="W19" s="52"/>
      <c r="X19" s="52"/>
      <c r="Y19" s="52"/>
      <c r="Z19" s="52"/>
      <c r="AA19" s="52"/>
    </row>
    <row r="20" spans="1:27" x14ac:dyDescent="0.3">
      <c r="A20" s="13" t="s">
        <v>84</v>
      </c>
      <c r="B20" s="14">
        <f>B8+(((B17/100)*4.25)/(1-(B17/100)))</f>
        <v>4.6703296703296706</v>
      </c>
      <c r="C20" s="14" t="s">
        <v>46</v>
      </c>
      <c r="D20" s="3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2"/>
      <c r="T20" s="52"/>
      <c r="U20" s="52"/>
      <c r="V20" s="52"/>
      <c r="W20" s="52"/>
      <c r="X20" s="52"/>
      <c r="Y20" s="52"/>
      <c r="Z20" s="52"/>
      <c r="AA20" s="52"/>
    </row>
    <row r="21" spans="1:27" x14ac:dyDescent="0.3">
      <c r="A21" s="18" t="s">
        <v>82</v>
      </c>
      <c r="B21" s="19">
        <f>B8*(B18*B11+B19*B12)</f>
        <v>1920.558</v>
      </c>
      <c r="C21" s="19" t="s">
        <v>49</v>
      </c>
      <c r="D21" s="36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3">
      <c r="A22" s="21"/>
      <c r="B22" s="6">
        <f>B21/B20</f>
        <v>411.22535999999997</v>
      </c>
      <c r="C22" s="6" t="s">
        <v>85</v>
      </c>
      <c r="D22" s="36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2"/>
      <c r="T22" s="52"/>
      <c r="U22" s="52"/>
      <c r="V22" s="52"/>
      <c r="W22" s="52"/>
      <c r="X22" s="52"/>
      <c r="Y22" s="52"/>
      <c r="Z22" s="52"/>
      <c r="AA22" s="52"/>
    </row>
    <row r="23" spans="1:27" x14ac:dyDescent="0.3">
      <c r="A23" s="15"/>
      <c r="B23" s="16">
        <f>B21/B6</f>
        <v>384.11160000000001</v>
      </c>
      <c r="C23" s="16" t="s">
        <v>80</v>
      </c>
      <c r="D23" s="36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2"/>
      <c r="T23" s="52"/>
      <c r="U23" s="52"/>
      <c r="V23" s="52"/>
      <c r="W23" s="52"/>
      <c r="X23" s="52"/>
      <c r="Y23" s="52"/>
      <c r="Z23" s="52"/>
      <c r="AA23" s="52"/>
    </row>
    <row r="24" spans="1:27" x14ac:dyDescent="0.3">
      <c r="A24" s="167"/>
      <c r="B24" s="167"/>
      <c r="C24" s="167"/>
      <c r="D24" s="36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2"/>
      <c r="T24" s="52"/>
      <c r="U24" s="52"/>
      <c r="V24" s="52"/>
      <c r="W24" s="52"/>
      <c r="X24" s="52"/>
      <c r="Y24" s="52"/>
      <c r="Z24" s="52"/>
      <c r="AA24" s="52"/>
    </row>
    <row r="25" spans="1:27" x14ac:dyDescent="0.3">
      <c r="A25" s="161" t="s">
        <v>86</v>
      </c>
      <c r="B25" s="162"/>
      <c r="C25" s="162"/>
      <c r="D25" s="3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3">
      <c r="A26" s="7" t="s">
        <v>87</v>
      </c>
      <c r="B26" s="8">
        <f>B21-B13</f>
        <v>230.52849999999989</v>
      </c>
      <c r="C26" s="8" t="s">
        <v>49</v>
      </c>
      <c r="D26" s="36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3">
      <c r="A27" s="9"/>
      <c r="B27" s="10">
        <f>B23-B14</f>
        <v>46.105700000000013</v>
      </c>
      <c r="C27" s="10" t="s">
        <v>80</v>
      </c>
      <c r="D27" s="36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3">
      <c r="A28" s="167"/>
      <c r="B28" s="167"/>
      <c r="C28" s="167"/>
      <c r="D28" s="3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3">
      <c r="A29" s="26" t="s">
        <v>88</v>
      </c>
      <c r="B29" s="74">
        <v>75</v>
      </c>
      <c r="C29" s="74" t="s">
        <v>80</v>
      </c>
      <c r="D29" s="36" t="s">
        <v>112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3">
      <c r="A30" s="51" t="s">
        <v>51</v>
      </c>
      <c r="B30" s="58">
        <v>10</v>
      </c>
      <c r="C30" s="58" t="s">
        <v>80</v>
      </c>
      <c r="D30" s="36" t="s">
        <v>127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3">
      <c r="A31" s="168"/>
      <c r="B31" s="168"/>
      <c r="C31" s="168"/>
      <c r="D31" s="81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3">
      <c r="A32" s="163" t="s">
        <v>90</v>
      </c>
      <c r="B32" s="164"/>
      <c r="C32" s="164"/>
      <c r="D32" s="82">
        <f>IF(AND(C29="€/ton VS",C30="€/ton VS"),SUM(B29:B30),IF(AND(C29="€",C30="€/ton VS"), B30+(B29/B6),IF(AND(C29="€/ton VS",C30="€"),B29+(B30/B6),IF(AND(C29="€",C30="€"),(B29+B30)/B6,""))))</f>
        <v>85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3">
      <c r="A33" s="163" t="str">
        <f>IF(D32&gt;B27, "Toasten is in dit geval niet rendabel.","Toasten is in dit geval rendabel.")</f>
        <v>Toasten is in dit geval niet rendabel.</v>
      </c>
      <c r="B33" s="164"/>
      <c r="C33" s="164"/>
      <c r="D33" s="8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3">
      <c r="A34" s="52"/>
      <c r="B34" s="52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3">
      <c r="A35" s="52"/>
      <c r="B35" s="52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3">
      <c r="A36" s="52"/>
      <c r="B36" s="52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3">
      <c r="A37" s="52"/>
      <c r="B37" s="52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7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x14ac:dyDescent="0.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x14ac:dyDescent="0.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x14ac:dyDescent="0.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x14ac:dyDescent="0.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x14ac:dyDescent="0.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x14ac:dyDescent="0.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x14ac:dyDescent="0.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x14ac:dyDescent="0.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x14ac:dyDescent="0.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x14ac:dyDescent="0.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x14ac:dyDescent="0.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x14ac:dyDescent="0.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x14ac:dyDescent="0.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x14ac:dyDescent="0.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x14ac:dyDescent="0.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x14ac:dyDescent="0.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x14ac:dyDescent="0.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x14ac:dyDescent="0.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x14ac:dyDescent="0.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x14ac:dyDescent="0.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x14ac:dyDescent="0.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x14ac:dyDescent="0.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x14ac:dyDescent="0.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x14ac:dyDescent="0.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x14ac:dyDescent="0.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x14ac:dyDescent="0.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x14ac:dyDescent="0.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x14ac:dyDescent="0.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x14ac:dyDescent="0.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x14ac:dyDescent="0.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x14ac:dyDescent="0.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x14ac:dyDescent="0.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x14ac:dyDescent="0.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x14ac:dyDescent="0.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x14ac:dyDescent="0.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x14ac:dyDescent="0.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x14ac:dyDescent="0.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x14ac:dyDescent="0.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x14ac:dyDescent="0.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x14ac:dyDescent="0.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x14ac:dyDescent="0.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x14ac:dyDescent="0.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x14ac:dyDescent="0.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x14ac:dyDescent="0.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x14ac:dyDescent="0.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x14ac:dyDescent="0.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x14ac:dyDescent="0.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x14ac:dyDescent="0.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x14ac:dyDescent="0.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x14ac:dyDescent="0.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x14ac:dyDescent="0.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x14ac:dyDescent="0.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x14ac:dyDescent="0.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x14ac:dyDescent="0.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x14ac:dyDescent="0.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1:27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7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27" x14ac:dyDescent="0.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1:27" x14ac:dyDescent="0.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1:27" x14ac:dyDescent="0.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1:27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27" x14ac:dyDescent="0.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1:27" x14ac:dyDescent="0.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1:27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1:27" x14ac:dyDescent="0.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1:27" x14ac:dyDescent="0.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1:27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1:27" x14ac:dyDescent="0.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1:27" x14ac:dyDescent="0.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x14ac:dyDescent="0.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1:27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1:27" x14ac:dyDescent="0.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1:27" x14ac:dyDescent="0.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1:27" x14ac:dyDescent="0.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1:27" x14ac:dyDescent="0.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1:27" x14ac:dyDescent="0.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1:27" x14ac:dyDescent="0.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x14ac:dyDescent="0.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7" x14ac:dyDescent="0.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7" x14ac:dyDescent="0.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1:27" x14ac:dyDescent="0.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1:27" x14ac:dyDescent="0.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1:27" x14ac:dyDescent="0.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1:27" x14ac:dyDescent="0.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x14ac:dyDescent="0.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1:27" x14ac:dyDescent="0.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1:27" x14ac:dyDescent="0.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1:27" x14ac:dyDescent="0.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1:27" x14ac:dyDescent="0.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1:27" x14ac:dyDescent="0.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1:27" x14ac:dyDescent="0.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1:27" x14ac:dyDescent="0.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1:27" x14ac:dyDescent="0.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1:27" x14ac:dyDescent="0.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1:27" x14ac:dyDescent="0.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1:27" x14ac:dyDescent="0.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1:27" x14ac:dyDescent="0.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1:27" x14ac:dyDescent="0.3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1:27" x14ac:dyDescent="0.3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1:27" x14ac:dyDescent="0.3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1:27" x14ac:dyDescent="0.3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1:27" x14ac:dyDescent="0.3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1:27" x14ac:dyDescent="0.3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1:27" x14ac:dyDescent="0.3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1:27" x14ac:dyDescent="0.3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1:27" x14ac:dyDescent="0.3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</sheetData>
  <sheetProtection algorithmName="SHA-512" hashValue="hXe/5+A66FRhWkO8wIAccZlxK5mu74obtYFjbQIPCzdR9Sv/7RWWPJiP3Ac3Jl5JO8JYGAh8xJo9GTvXidBkrA==" saltValue="th2i7t9tNw5maD/wjAYa0w==" spinCount="100000" sheet="1" objects="1" scenarios="1" selectLockedCells="1"/>
  <mergeCells count="13">
    <mergeCell ref="A1:D1"/>
    <mergeCell ref="A3:D3"/>
    <mergeCell ref="A25:C25"/>
    <mergeCell ref="A33:C33"/>
    <mergeCell ref="A4:C4"/>
    <mergeCell ref="A2:C2"/>
    <mergeCell ref="A32:C32"/>
    <mergeCell ref="A15:C15"/>
    <mergeCell ref="A24:C24"/>
    <mergeCell ref="A28:C28"/>
    <mergeCell ref="A31:C31"/>
    <mergeCell ref="A5:C5"/>
    <mergeCell ref="A16:C16"/>
  </mergeCells>
  <conditionalFormatting sqref="A21">
    <cfRule type="containsText" dxfId="5" priority="15" operator="containsText" text="Toasten is in dit geval rendabel">
      <formula>NOT(ISERROR(SEARCH("Toasten is in dit geval rendabel",A21)))</formula>
    </cfRule>
    <cfRule type="containsText" dxfId="4" priority="16" operator="containsText" text="Toasten is in dit geval niet rendabel">
      <formula>NOT(ISERROR(SEARCH("Toasten is in dit geval niet rendabel",A21)))</formula>
    </cfRule>
  </conditionalFormatting>
  <conditionalFormatting sqref="A32:C32">
    <cfRule type="expression" dxfId="3" priority="2">
      <formula>$A$33="Toasten is in dit geval niet rendabel."</formula>
    </cfRule>
    <cfRule type="expression" dxfId="2" priority="4">
      <formula>$A$33="Toasten is in dit geval rendabel."</formula>
    </cfRule>
  </conditionalFormatting>
  <conditionalFormatting sqref="A33:C33">
    <cfRule type="expression" dxfId="1" priority="1">
      <formula>$A$33="Toasten is in dit geval niet rendabel."</formula>
    </cfRule>
    <cfRule type="expression" dxfId="0" priority="3">
      <formula>$A$33="Toasten is in dit geval rendabel."</formula>
    </cfRule>
  </conditionalFormatting>
  <dataValidations count="1">
    <dataValidation type="decimal" errorStyle="warning" allowBlank="1" showInputMessage="1" showErrorMessage="1" error="De door u ingevoerde waarde valt buiten het mogelijke bereik. Controleer op typfouten en eenheden." sqref="B7 B17" xr:uid="{3F7FCDC8-6651-4232-A6CD-87B9C5B93C51}">
      <formula1>0</formula1>
      <formula2>1000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E4DBD3-D6E5-449D-A0E4-92DEA64E61E6}">
          <x14:formula1>
            <xm:f>'Tabellen voor keuzelijsten'!$O$2:$O$3</xm:f>
          </x14:formula1>
          <xm:sqref>A7 A17</xm:sqref>
        </x14:dataValidation>
        <x14:dataValidation type="list" allowBlank="1" showInputMessage="1" showErrorMessage="1" prompt="Kies voor €/ton VS als u weet wat u betaald voor het toasten per ton veldbonen, of kies € als u weet hoeveel u betaalde voor het toasten van het volledige tonnage veldbonen." xr:uid="{4596CCAB-DA7B-4D1E-906E-097CC529F8DD}">
          <x14:formula1>
            <xm:f>'Tabellen voor keuzelijsten'!$Q$2:$Q$3</xm:f>
          </x14:formula1>
          <xm:sqref>C29:C30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0F67-C387-44E4-8857-0FDA049C5C51}">
  <dimension ref="A1:U13"/>
  <sheetViews>
    <sheetView topLeftCell="H1" workbookViewId="0">
      <selection activeCell="H1" sqref="A1:XFD1048576"/>
    </sheetView>
  </sheetViews>
  <sheetFormatPr defaultRowHeight="14.4" x14ac:dyDescent="0.3"/>
  <cols>
    <col min="1" max="1" width="26.21875" customWidth="1"/>
    <col min="3" max="3" width="26.21875" customWidth="1"/>
    <col min="4" max="4" width="15.21875" customWidth="1"/>
    <col min="5" max="5" width="27.109375" customWidth="1"/>
    <col min="7" max="7" width="18.5546875" customWidth="1"/>
    <col min="9" max="9" width="23.109375" customWidth="1"/>
    <col min="11" max="11" width="18.109375" customWidth="1"/>
    <col min="13" max="13" width="22.88671875" customWidth="1"/>
    <col min="15" max="15" width="17.21875" customWidth="1"/>
    <col min="17" max="17" width="9.6640625" customWidth="1"/>
    <col min="19" max="19" width="13.6640625" customWidth="1"/>
    <col min="21" max="21" width="13" customWidth="1"/>
  </cols>
  <sheetData>
    <row r="1" spans="1:21" x14ac:dyDescent="0.3">
      <c r="A1" t="s">
        <v>3</v>
      </c>
      <c r="C1" t="s">
        <v>45</v>
      </c>
      <c r="E1" t="s">
        <v>17</v>
      </c>
      <c r="G1" t="s">
        <v>2</v>
      </c>
      <c r="I1" t="s">
        <v>1</v>
      </c>
      <c r="K1" t="s">
        <v>16</v>
      </c>
      <c r="M1" t="s">
        <v>47</v>
      </c>
      <c r="O1" t="s">
        <v>54</v>
      </c>
      <c r="Q1" t="s">
        <v>89</v>
      </c>
      <c r="S1" t="s">
        <v>93</v>
      </c>
      <c r="U1" t="s">
        <v>120</v>
      </c>
    </row>
    <row r="2" spans="1:21" x14ac:dyDescent="0.3">
      <c r="A2" t="s">
        <v>5</v>
      </c>
      <c r="C2" s="1" t="s">
        <v>2</v>
      </c>
      <c r="D2" s="1"/>
      <c r="E2" s="1" t="s">
        <v>18</v>
      </c>
      <c r="F2" s="1"/>
      <c r="G2" t="str">
        <f>""</f>
        <v/>
      </c>
      <c r="I2" t="s">
        <v>28</v>
      </c>
      <c r="K2" t="s">
        <v>28</v>
      </c>
      <c r="M2" t="s">
        <v>49</v>
      </c>
      <c r="O2" t="s">
        <v>53</v>
      </c>
      <c r="Q2" t="s">
        <v>49</v>
      </c>
      <c r="S2" t="s">
        <v>91</v>
      </c>
      <c r="U2" t="s">
        <v>121</v>
      </c>
    </row>
    <row r="3" spans="1:21" x14ac:dyDescent="0.3">
      <c r="A3" t="s">
        <v>4</v>
      </c>
      <c r="C3" s="1" t="s">
        <v>1</v>
      </c>
      <c r="D3" s="1"/>
      <c r="E3" s="1" t="s">
        <v>19</v>
      </c>
      <c r="I3" t="s">
        <v>18</v>
      </c>
      <c r="K3" t="s">
        <v>18</v>
      </c>
      <c r="M3" t="s">
        <v>50</v>
      </c>
      <c r="O3" t="s">
        <v>55</v>
      </c>
      <c r="Q3" t="s">
        <v>80</v>
      </c>
      <c r="S3" t="s">
        <v>92</v>
      </c>
      <c r="U3" t="s">
        <v>122</v>
      </c>
    </row>
    <row r="4" spans="1:21" x14ac:dyDescent="0.3">
      <c r="C4" s="1" t="s">
        <v>16</v>
      </c>
      <c r="D4" s="1"/>
      <c r="E4" s="1" t="s">
        <v>12</v>
      </c>
      <c r="I4" t="s">
        <v>19</v>
      </c>
      <c r="K4" t="s">
        <v>19</v>
      </c>
    </row>
    <row r="5" spans="1:21" x14ac:dyDescent="0.3">
      <c r="D5" s="1"/>
      <c r="E5" s="1" t="s">
        <v>21</v>
      </c>
      <c r="I5" t="s">
        <v>12</v>
      </c>
      <c r="K5" t="s">
        <v>12</v>
      </c>
    </row>
    <row r="6" spans="1:21" x14ac:dyDescent="0.3">
      <c r="D6" s="1"/>
      <c r="E6" s="1" t="s">
        <v>22</v>
      </c>
      <c r="I6" t="s">
        <v>21</v>
      </c>
      <c r="K6" t="s">
        <v>21</v>
      </c>
    </row>
    <row r="7" spans="1:21" x14ac:dyDescent="0.3">
      <c r="D7" s="1"/>
      <c r="E7" s="1" t="s">
        <v>23</v>
      </c>
      <c r="I7" t="s">
        <v>22</v>
      </c>
      <c r="K7" t="s">
        <v>22</v>
      </c>
    </row>
    <row r="8" spans="1:21" x14ac:dyDescent="0.3">
      <c r="D8" s="1"/>
      <c r="E8" s="1" t="s">
        <v>24</v>
      </c>
      <c r="I8" t="s">
        <v>23</v>
      </c>
    </row>
    <row r="9" spans="1:21" x14ac:dyDescent="0.3">
      <c r="D9" s="1"/>
      <c r="E9" s="1" t="s">
        <v>25</v>
      </c>
      <c r="I9" t="s">
        <v>24</v>
      </c>
    </row>
    <row r="10" spans="1:21" x14ac:dyDescent="0.3">
      <c r="D10" s="1"/>
      <c r="E10" s="1" t="s">
        <v>26</v>
      </c>
      <c r="I10" t="s">
        <v>25</v>
      </c>
    </row>
    <row r="11" spans="1:21" x14ac:dyDescent="0.3">
      <c r="E11" s="1" t="s">
        <v>27</v>
      </c>
      <c r="I11" t="s">
        <v>26</v>
      </c>
    </row>
    <row r="12" spans="1:21" x14ac:dyDescent="0.3">
      <c r="E12" s="1" t="s">
        <v>20</v>
      </c>
      <c r="I12" t="s">
        <v>27</v>
      </c>
    </row>
    <row r="13" spans="1:21" x14ac:dyDescent="0.3">
      <c r="I13" t="s">
        <v>20</v>
      </c>
    </row>
  </sheetData>
  <sheetProtection algorithmName="SHA-512" hashValue="Ux05ZnTwpsqvTQe5OcRRt3K0UJlvTdSl2Zv1S2duo9QXKSmuCii0oQ8gt9SxTvUJZBmN5RprvOKwoCXipXFfEg==" saltValue="IdKmfEdG5kG9OnrqEcMm6w==" spinCount="100000" sheet="1" objects="1" scenarios="1" selectLockedCells="1" selectUnlockedCells="1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371E5D6EE624284609B4F71674C48" ma:contentTypeVersion="18" ma:contentTypeDescription="Een nieuw document maken." ma:contentTypeScope="" ma:versionID="df0efdd5a11fafd2cf6489c01aa4420b">
  <xsd:schema xmlns:xsd="http://www.w3.org/2001/XMLSchema" xmlns:xs="http://www.w3.org/2001/XMLSchema" xmlns:p="http://schemas.microsoft.com/office/2006/metadata/properties" xmlns:ns2="d85592da-46b5-418c-95e1-0c0c36cc9923" xmlns:ns3="75ead59f-d5e7-448c-a512-390f7a26f2b8" targetNamespace="http://schemas.microsoft.com/office/2006/metadata/properties" ma:root="true" ma:fieldsID="f1b8c22d5b41ce7a5d787af2adab14b3" ns2:_="" ns3:_="">
    <xsd:import namespace="d85592da-46b5-418c-95e1-0c0c36cc9923"/>
    <xsd:import namespace="75ead59f-d5e7-448c-a512-390f7a26f2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592da-46b5-418c-95e1-0c0c36cc99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91328e-b70f-425e-97e2-36ac901a6808}" ma:internalName="TaxCatchAll" ma:showField="CatchAllData" ma:web="d85592da-46b5-418c-95e1-0c0c36cc9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ad59f-d5e7-448c-a512-390f7a26f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c63e4f1d-1569-4598-bb1f-1f2c41c3d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592da-46b5-418c-95e1-0c0c36cc9923" xsi:nil="true"/>
    <lcf76f155ced4ddcb4097134ff3c332f xmlns="75ead59f-d5e7-448c-a512-390f7a26f2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190C8F-2DF2-4910-B2C4-36F44DED17CE}"/>
</file>

<file path=customXml/itemProps2.xml><?xml version="1.0" encoding="utf-8"?>
<ds:datastoreItem xmlns:ds="http://schemas.openxmlformats.org/officeDocument/2006/customXml" ds:itemID="{862CCFE8-B39C-42CA-8EC6-3A5C37643B51}"/>
</file>

<file path=customXml/itemProps3.xml><?xml version="1.0" encoding="utf-8"?>
<ds:datastoreItem xmlns:ds="http://schemas.openxmlformats.org/officeDocument/2006/customXml" ds:itemID="{76002C88-EDE0-4C94-917E-C3FAC7D8DC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Teelt</vt:lpstr>
      <vt:lpstr>Vervoedering</vt:lpstr>
      <vt:lpstr>Toasten</vt:lpstr>
      <vt:lpstr>Tabellen voor keuzelijsten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 Keppens</dc:creator>
  <cp:lastModifiedBy>Stef Keppens</cp:lastModifiedBy>
  <dcterms:created xsi:type="dcterms:W3CDTF">2023-02-17T10:41:58Z</dcterms:created>
  <dcterms:modified xsi:type="dcterms:W3CDTF">2023-05-09T10:41:12Z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0x010100A9C08E55BE95F5439965531F0BD8DD5F</vt:lpwstr>
  </property>
</Properties>
</file>